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workbookProtection workbookAlgorithmName="SHA-512" workbookHashValue="LOBXbLYfjTwaw6ubbW0NRHDQgSjgPlhryOe9/pN1cUt1rkBmNF3dTz7d4JSzcUMcZFdJNA3QXjfVoHHHJ/ABQg==" workbookSaltValue="C8O+H9htH8H9+iLZFsyxpg==" workbookSpinCount="100000" lockStructure="1"/>
  <bookViews>
    <workbookView xWindow="0" yWindow="0" windowWidth="28800" windowHeight="12135" firstSheet="3" activeTab="3"/>
  </bookViews>
  <sheets>
    <sheet name="DATOS 1" sheetId="16" state="hidden" r:id="rId1"/>
    <sheet name="DATOS " sheetId="15" state="hidden" r:id="rId2"/>
    <sheet name="RT03-F12" sheetId="8" state="hidden" r:id="rId3"/>
    <sheet name="RT03-F15 " sheetId="18" r:id="rId4"/>
    <sheet name="RT03-F39" sheetId="21" state="hidden" r:id="rId5"/>
  </sheets>
  <externalReferences>
    <externalReference r:id="rId6"/>
    <externalReference r:id="rId7"/>
    <externalReference r:id="rId8"/>
  </externalReferences>
  <definedNames>
    <definedName name="a1_">'[1]APROXIMACION LINEL'!$C$21</definedName>
    <definedName name="_xlnm.Print_Area" localSheetId="2">'RT03-F12'!$A$1:$P$145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1">'DATOS '!$A$1:$T$167</definedName>
    <definedName name="Print_Area" localSheetId="0">'DATOS 1'!$A$1:$T$165</definedName>
    <definedName name="Print_Area" localSheetId="2">'RT03-F12'!$A$1:$L$144</definedName>
    <definedName name="Print_Area" localSheetId="3">'RT03-F15 '!$A$1:$F$174</definedName>
    <definedName name="Print_Area" localSheetId="4">'RT03-F39'!$A$1:$F$174</definedName>
    <definedName name="Print_Titles" localSheetId="2">'RT03-F12'!$1:$3</definedName>
    <definedName name="Print_Titles" localSheetId="3">'RT03-F15 '!$1:$1</definedName>
    <definedName name="Print_Titles" localSheetId="4">'RT03-F39'!$1:$1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21" l="1"/>
  <c r="F112" i="21"/>
  <c r="F71" i="21"/>
  <c r="F41" i="21"/>
  <c r="D171" i="21"/>
  <c r="A171" i="21"/>
  <c r="D170" i="21"/>
  <c r="A170" i="21"/>
  <c r="D139" i="21"/>
  <c r="B139" i="21"/>
  <c r="C109" i="21"/>
  <c r="B109" i="21"/>
  <c r="A109" i="21"/>
  <c r="C108" i="21"/>
  <c r="B108" i="21"/>
  <c r="A108" i="21"/>
  <c r="C107" i="21"/>
  <c r="B107" i="21"/>
  <c r="A107" i="21"/>
  <c r="C106" i="21"/>
  <c r="B106" i="21"/>
  <c r="A106" i="21"/>
  <c r="C105" i="21"/>
  <c r="B105" i="21"/>
  <c r="A105" i="21"/>
  <c r="A104" i="21"/>
  <c r="C101" i="21"/>
  <c r="B101" i="21"/>
  <c r="A101" i="21"/>
  <c r="C100" i="21"/>
  <c r="B100" i="21"/>
  <c r="A100" i="21"/>
  <c r="C99" i="21"/>
  <c r="B99" i="21"/>
  <c r="A99" i="21"/>
  <c r="C98" i="21"/>
  <c r="B98" i="21"/>
  <c r="A98" i="21"/>
  <c r="C97" i="21"/>
  <c r="B97" i="21"/>
  <c r="A97" i="21"/>
  <c r="D86" i="21"/>
  <c r="C86" i="21"/>
  <c r="B86" i="21"/>
  <c r="A86" i="21"/>
  <c r="D85" i="21"/>
  <c r="C85" i="21"/>
  <c r="B85" i="21"/>
  <c r="A85" i="21"/>
  <c r="D84" i="21"/>
  <c r="C84" i="21"/>
  <c r="B84" i="21"/>
  <c r="A84" i="21"/>
  <c r="D83" i="21"/>
  <c r="C83" i="21"/>
  <c r="B83" i="21"/>
  <c r="A83" i="21"/>
  <c r="D82" i="21"/>
  <c r="C82" i="21"/>
  <c r="B82" i="21"/>
  <c r="A82" i="21"/>
  <c r="D81" i="21"/>
  <c r="C81" i="21"/>
  <c r="B81" i="21"/>
  <c r="A81" i="21"/>
  <c r="D80" i="21"/>
  <c r="C80" i="21"/>
  <c r="B80" i="21"/>
  <c r="A80" i="21"/>
  <c r="D79" i="21"/>
  <c r="C79" i="21"/>
  <c r="B79" i="21"/>
  <c r="A79" i="21"/>
  <c r="D78" i="21"/>
  <c r="C78" i="21"/>
  <c r="B78" i="21"/>
  <c r="A78" i="21"/>
  <c r="D77" i="21"/>
  <c r="C77" i="21"/>
  <c r="B77" i="21"/>
  <c r="A77" i="21"/>
  <c r="D75" i="21"/>
  <c r="C75" i="21"/>
  <c r="B75" i="21"/>
  <c r="A75" i="21"/>
  <c r="C64" i="21"/>
  <c r="C63" i="21"/>
  <c r="B63" i="21"/>
  <c r="A63" i="21"/>
  <c r="C62" i="21"/>
  <c r="B62" i="21"/>
  <c r="A62" i="21"/>
  <c r="C61" i="21"/>
  <c r="B61" i="21"/>
  <c r="A61" i="21"/>
  <c r="C60" i="21"/>
  <c r="B60" i="21"/>
  <c r="A60" i="21"/>
  <c r="C59" i="21"/>
  <c r="B59" i="21"/>
  <c r="A59" i="21"/>
  <c r="B58" i="21"/>
  <c r="A58" i="21"/>
  <c r="C57" i="21"/>
  <c r="B57" i="21"/>
  <c r="A57" i="21"/>
  <c r="C49" i="21"/>
  <c r="C48" i="21"/>
  <c r="C46" i="21"/>
  <c r="C37" i="21"/>
  <c r="B37" i="21"/>
  <c r="A37" i="21"/>
  <c r="C27" i="21"/>
  <c r="C20" i="21"/>
  <c r="C19" i="21"/>
  <c r="C18" i="21"/>
  <c r="C17" i="21"/>
  <c r="C16" i="21"/>
  <c r="C15" i="21"/>
  <c r="C14" i="21"/>
  <c r="F9" i="21"/>
  <c r="C9" i="21"/>
  <c r="C7" i="21"/>
  <c r="A24" i="21" s="1"/>
  <c r="C6" i="21"/>
  <c r="A25" i="21" s="1"/>
  <c r="C5" i="21"/>
  <c r="F2" i="21"/>
  <c r="R125" i="15" l="1"/>
  <c r="D171" i="18" l="1"/>
  <c r="D170" i="18"/>
  <c r="K65" i="8"/>
  <c r="A171" i="18"/>
  <c r="A170" i="18"/>
  <c r="J29" i="8" l="1"/>
  <c r="H29" i="8"/>
  <c r="E29" i="8"/>
  <c r="J28" i="8"/>
  <c r="G28" i="8"/>
  <c r="E28" i="8"/>
  <c r="C28" i="8"/>
  <c r="T165" i="15"/>
  <c r="T164" i="15"/>
  <c r="S164" i="15"/>
  <c r="T163" i="15"/>
  <c r="T162" i="15"/>
  <c r="S162" i="15"/>
  <c r="T161" i="15"/>
  <c r="S161" i="15"/>
  <c r="S165" i="15"/>
  <c r="S163" i="15"/>
  <c r="R165" i="15"/>
  <c r="R164" i="15"/>
  <c r="R163" i="15"/>
  <c r="R162" i="15"/>
  <c r="Q162" i="15"/>
  <c r="R161" i="15"/>
  <c r="Q161" i="15"/>
  <c r="Q165" i="15"/>
  <c r="Q164" i="15"/>
  <c r="Q163" i="15"/>
  <c r="P165" i="15"/>
  <c r="P164" i="15"/>
  <c r="P163" i="15"/>
  <c r="P162" i="15"/>
  <c r="O162" i="15"/>
  <c r="P161" i="15"/>
  <c r="O161" i="15"/>
  <c r="O165" i="15"/>
  <c r="O164" i="15"/>
  <c r="O163" i="15"/>
  <c r="M165" i="15"/>
  <c r="N165" i="15"/>
  <c r="M164" i="15"/>
  <c r="N164" i="15"/>
  <c r="M163" i="15"/>
  <c r="N163" i="15"/>
  <c r="M162" i="15"/>
  <c r="N162" i="15"/>
  <c r="L165" i="15"/>
  <c r="L164" i="15"/>
  <c r="L163" i="15"/>
  <c r="L162" i="15"/>
  <c r="M161" i="15"/>
  <c r="N161" i="15"/>
  <c r="L161" i="15"/>
  <c r="K165" i="15"/>
  <c r="K164" i="15"/>
  <c r="K163" i="15"/>
  <c r="K162" i="15"/>
  <c r="K161" i="15"/>
  <c r="J165" i="15"/>
  <c r="J164" i="15"/>
  <c r="J163" i="15"/>
  <c r="J162" i="15"/>
  <c r="J161" i="15"/>
  <c r="I165" i="15"/>
  <c r="I164" i="15"/>
  <c r="I163" i="15"/>
  <c r="I162" i="15"/>
  <c r="I161" i="15"/>
  <c r="H164" i="15"/>
  <c r="H165" i="15"/>
  <c r="H163" i="15"/>
  <c r="H162" i="15"/>
  <c r="H161" i="15"/>
  <c r="G165" i="15"/>
  <c r="G164" i="15"/>
  <c r="G163" i="15"/>
  <c r="G162" i="15"/>
  <c r="G161" i="15"/>
  <c r="K159" i="15"/>
  <c r="J159" i="15"/>
  <c r="H159" i="15"/>
  <c r="I159" i="15"/>
  <c r="R145" i="15"/>
  <c r="Q145" i="15"/>
  <c r="P145" i="15"/>
  <c r="R135" i="15"/>
  <c r="Q135" i="15"/>
  <c r="P135" i="15"/>
  <c r="Q125" i="15"/>
  <c r="P125" i="15"/>
  <c r="R114" i="15"/>
  <c r="Q114" i="15"/>
  <c r="P114" i="15"/>
  <c r="R103" i="15"/>
  <c r="Q103" i="15"/>
  <c r="P103" i="15"/>
  <c r="A104" i="18" l="1"/>
  <c r="B101" i="18"/>
  <c r="B100" i="18"/>
  <c r="B99" i="18"/>
  <c r="B98" i="18"/>
  <c r="B97" i="18"/>
  <c r="D86" i="18"/>
  <c r="C86" i="18"/>
  <c r="B86" i="18"/>
  <c r="A86" i="18"/>
  <c r="D85" i="18"/>
  <c r="C85" i="18"/>
  <c r="B85" i="18"/>
  <c r="A85" i="18"/>
  <c r="D84" i="18"/>
  <c r="C84" i="18"/>
  <c r="B84" i="18"/>
  <c r="A84" i="18"/>
  <c r="D83" i="18"/>
  <c r="C83" i="18"/>
  <c r="B83" i="18"/>
  <c r="A83" i="18"/>
  <c r="D82" i="18"/>
  <c r="C82" i="18"/>
  <c r="B82" i="18"/>
  <c r="A82" i="18"/>
  <c r="D81" i="18"/>
  <c r="C81" i="18"/>
  <c r="B81" i="18"/>
  <c r="A81" i="18"/>
  <c r="D80" i="18"/>
  <c r="C80" i="18"/>
  <c r="B80" i="18"/>
  <c r="A80" i="18"/>
  <c r="D79" i="18"/>
  <c r="C79" i="18"/>
  <c r="B79" i="18"/>
  <c r="A79" i="18"/>
  <c r="D78" i="18"/>
  <c r="C78" i="18"/>
  <c r="B78" i="18"/>
  <c r="A78" i="18"/>
  <c r="D77" i="18"/>
  <c r="C77" i="18"/>
  <c r="B77" i="18"/>
  <c r="A77" i="18"/>
  <c r="A75" i="18"/>
  <c r="B63" i="18"/>
  <c r="A63" i="18"/>
  <c r="B62" i="18"/>
  <c r="A62" i="18"/>
  <c r="B61" i="18"/>
  <c r="A61" i="18"/>
  <c r="B60" i="18"/>
  <c r="A60" i="18"/>
  <c r="B59" i="18"/>
  <c r="A59" i="18"/>
  <c r="B58" i="18"/>
  <c r="A58" i="18"/>
  <c r="C57" i="18"/>
  <c r="A57" i="18"/>
  <c r="H119" i="8" l="1"/>
  <c r="P57" i="15" l="1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56" i="15"/>
  <c r="P55" i="15"/>
  <c r="I6" i="8" l="1"/>
  <c r="F6" i="8"/>
  <c r="F9" i="18" l="1"/>
  <c r="F2" i="18"/>
  <c r="F112" i="18" l="1"/>
  <c r="F153" i="18"/>
  <c r="F41" i="18"/>
  <c r="F71" i="18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73" i="15"/>
  <c r="P72" i="15"/>
  <c r="P71" i="15"/>
  <c r="P29" i="15"/>
  <c r="P30" i="15"/>
  <c r="P31" i="15"/>
  <c r="P32" i="15"/>
  <c r="P28" i="15"/>
  <c r="P38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40" i="15"/>
  <c r="P41" i="15"/>
  <c r="P39" i="15"/>
  <c r="B160" i="16"/>
  <c r="R145" i="16"/>
  <c r="Q145" i="16"/>
  <c r="P145" i="16"/>
  <c r="R135" i="16"/>
  <c r="Q135" i="16"/>
  <c r="P135" i="16"/>
  <c r="R125" i="16"/>
  <c r="Q125" i="16"/>
  <c r="P125" i="16"/>
  <c r="R114" i="16"/>
  <c r="Q114" i="16"/>
  <c r="P114" i="16"/>
  <c r="R103" i="16"/>
  <c r="Q103" i="16"/>
  <c r="P103" i="16"/>
  <c r="Q74" i="16"/>
  <c r="Q75" i="16" s="1"/>
  <c r="Q76" i="16" s="1"/>
  <c r="Q77" i="16" s="1"/>
  <c r="Q78" i="16" s="1"/>
  <c r="Q79" i="16" s="1"/>
  <c r="Q80" i="16" s="1"/>
  <c r="Q81" i="16" s="1"/>
  <c r="Q82" i="16" s="1"/>
  <c r="Q83" i="16" s="1"/>
  <c r="Q84" i="16" s="1"/>
  <c r="Q85" i="16" s="1"/>
  <c r="Q86" i="16" s="1"/>
  <c r="Q87" i="16" s="1"/>
  <c r="Q88" i="16" s="1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P72" i="16"/>
  <c r="N72" i="16"/>
  <c r="P71" i="16"/>
  <c r="N71" i="16"/>
  <c r="Q56" i="16"/>
  <c r="Q57" i="16"/>
  <c r="Q58" i="16" s="1"/>
  <c r="Q59" i="16" s="1"/>
  <c r="Q60" i="16" s="1"/>
  <c r="Q61" i="16" s="1"/>
  <c r="Q62" i="16" s="1"/>
  <c r="Q63" i="16" s="1"/>
  <c r="Q64" i="16" s="1"/>
  <c r="Q65" i="16" s="1"/>
  <c r="Q66" i="16" s="1"/>
  <c r="Q67" i="16" s="1"/>
  <c r="Q68" i="16" s="1"/>
  <c r="Q69" i="16" s="1"/>
  <c r="Q70" i="16" s="1"/>
  <c r="P70" i="16"/>
  <c r="N70" i="16"/>
  <c r="I56" i="16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P69" i="16"/>
  <c r="N69" i="16"/>
  <c r="P68" i="16"/>
  <c r="N68" i="16"/>
  <c r="P67" i="16"/>
  <c r="N67" i="16"/>
  <c r="P66" i="16"/>
  <c r="N66" i="16"/>
  <c r="P65" i="16"/>
  <c r="N65" i="16"/>
  <c r="P64" i="16"/>
  <c r="N64" i="16"/>
  <c r="P63" i="16"/>
  <c r="N63" i="16"/>
  <c r="P62" i="16"/>
  <c r="N62" i="16"/>
  <c r="P61" i="16"/>
  <c r="N61" i="16"/>
  <c r="P60" i="16"/>
  <c r="N60" i="16"/>
  <c r="P59" i="16"/>
  <c r="N59" i="16"/>
  <c r="P58" i="16"/>
  <c r="N58" i="16"/>
  <c r="P57" i="16"/>
  <c r="N57" i="16"/>
  <c r="P56" i="16"/>
  <c r="N56" i="16"/>
  <c r="P55" i="16"/>
  <c r="N55" i="16"/>
  <c r="Q39" i="16"/>
  <c r="Q40" i="16"/>
  <c r="Q41" i="16" s="1"/>
  <c r="Q42" i="16" s="1"/>
  <c r="Q43" i="16" s="1"/>
  <c r="Q44" i="16" s="1"/>
  <c r="Q45" i="16" s="1"/>
  <c r="Q46" i="16" s="1"/>
  <c r="Q47" i="16" s="1"/>
  <c r="Q48" i="16" s="1"/>
  <c r="Q49" i="16" s="1"/>
  <c r="Q50" i="16" s="1"/>
  <c r="Q51" i="16" s="1"/>
  <c r="Q52" i="16" s="1"/>
  <c r="Q53" i="16" s="1"/>
  <c r="Q54" i="16" s="1"/>
  <c r="P54" i="16"/>
  <c r="N54" i="16"/>
  <c r="P53" i="16"/>
  <c r="N53" i="16"/>
  <c r="P52" i="16"/>
  <c r="N52" i="16"/>
  <c r="P51" i="16"/>
  <c r="N51" i="16"/>
  <c r="P50" i="16"/>
  <c r="N50" i="16"/>
  <c r="P49" i="16"/>
  <c r="N49" i="16"/>
  <c r="P48" i="16"/>
  <c r="N48" i="16"/>
  <c r="P47" i="16"/>
  <c r="N47" i="16"/>
  <c r="P46" i="16"/>
  <c r="N46" i="16"/>
  <c r="P45" i="16"/>
  <c r="N45" i="16"/>
  <c r="P44" i="16"/>
  <c r="N44" i="16"/>
  <c r="P43" i="16"/>
  <c r="N43" i="16"/>
  <c r="P42" i="16"/>
  <c r="N42" i="16"/>
  <c r="P41" i="16"/>
  <c r="N41" i="16"/>
  <c r="P40" i="16"/>
  <c r="N40" i="16"/>
  <c r="P39" i="16"/>
  <c r="N39" i="16"/>
  <c r="P38" i="16"/>
  <c r="N38" i="16"/>
  <c r="N32" i="16"/>
  <c r="N31" i="16"/>
  <c r="N30" i="16"/>
  <c r="N29" i="16"/>
  <c r="N28" i="16"/>
  <c r="I102" i="8"/>
  <c r="L32" i="8"/>
  <c r="I23" i="8"/>
  <c r="H78" i="8" s="1"/>
  <c r="B6" i="8"/>
  <c r="H6" i="8"/>
  <c r="C6" i="18" s="1"/>
  <c r="A25" i="18" s="1"/>
  <c r="G6" i="8"/>
  <c r="C5" i="18" s="1"/>
  <c r="E6" i="8"/>
  <c r="D6" i="8"/>
  <c r="C27" i="18" s="1"/>
  <c r="C6" i="8"/>
  <c r="C9" i="18" s="1"/>
  <c r="N28" i="15"/>
  <c r="I15" i="8"/>
  <c r="I14" i="8"/>
  <c r="I13" i="8"/>
  <c r="I12" i="8"/>
  <c r="I11" i="8"/>
  <c r="I10" i="8"/>
  <c r="E34" i="8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/>
  <c r="B56" i="8" s="1"/>
  <c r="N31" i="15"/>
  <c r="H23" i="8"/>
  <c r="B57" i="8" s="1"/>
  <c r="N32" i="15"/>
  <c r="H24" i="8" s="1"/>
  <c r="G23" i="8"/>
  <c r="J128" i="8" s="1"/>
  <c r="E26" i="8"/>
  <c r="D26" i="8"/>
  <c r="C26" i="8"/>
  <c r="B26" i="8"/>
  <c r="I24" i="8"/>
  <c r="I22" i="8"/>
  <c r="G79" i="8" s="1"/>
  <c r="I21" i="8"/>
  <c r="F79" i="8" s="1"/>
  <c r="H21" i="8"/>
  <c r="B55" i="8" s="1"/>
  <c r="J24" i="8"/>
  <c r="J23" i="8"/>
  <c r="J22" i="8"/>
  <c r="J21" i="8"/>
  <c r="G24" i="8"/>
  <c r="J129" i="8" s="1"/>
  <c r="G22" i="8"/>
  <c r="J127" i="8" s="1"/>
  <c r="G21" i="8"/>
  <c r="F70" i="8" s="1"/>
  <c r="D15" i="8"/>
  <c r="C20" i="18" s="1"/>
  <c r="D14" i="8"/>
  <c r="D13" i="8"/>
  <c r="C18" i="18" s="1"/>
  <c r="D12" i="8"/>
  <c r="C17" i="18" s="1"/>
  <c r="D11" i="8"/>
  <c r="C15" i="18" s="1"/>
  <c r="D10" i="8"/>
  <c r="C16" i="18" s="1"/>
  <c r="D9" i="8"/>
  <c r="C14" i="18" s="1"/>
  <c r="Q74" i="15"/>
  <c r="Q75" i="15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39" i="15"/>
  <c r="Q40" i="15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L74" i="8"/>
  <c r="G26" i="8"/>
  <c r="G118" i="8" s="1"/>
  <c r="K118" i="8" s="1"/>
  <c r="J88" i="8"/>
  <c r="I88" i="8"/>
  <c r="H88" i="8"/>
  <c r="G88" i="8"/>
  <c r="F88" i="8"/>
  <c r="I64" i="8"/>
  <c r="I65" i="8" s="1"/>
  <c r="G64" i="8"/>
  <c r="G65" i="8" s="1"/>
  <c r="E64" i="8"/>
  <c r="E65" i="8" s="1"/>
  <c r="I59" i="8"/>
  <c r="J59" i="8" s="1"/>
  <c r="I58" i="8"/>
  <c r="J58" i="8" s="1"/>
  <c r="I57" i="8"/>
  <c r="J57" i="8" s="1"/>
  <c r="I56" i="8"/>
  <c r="J56" i="8" s="1"/>
  <c r="I55" i="8"/>
  <c r="J55" i="8" s="1"/>
  <c r="D50" i="8"/>
  <c r="E50" i="8" s="1"/>
  <c r="C50" i="8"/>
  <c r="D49" i="8"/>
  <c r="E49" i="8" s="1"/>
  <c r="C49" i="8"/>
  <c r="D48" i="8"/>
  <c r="E48" i="8" s="1"/>
  <c r="C48" i="8"/>
  <c r="A46" i="8"/>
  <c r="A45" i="8"/>
  <c r="A44" i="8"/>
  <c r="G37" i="8"/>
  <c r="C63" i="18" s="1"/>
  <c r="F37" i="8"/>
  <c r="E37" i="8"/>
  <c r="D37" i="8"/>
  <c r="C37" i="8"/>
  <c r="C19" i="18" l="1"/>
  <c r="F75" i="8"/>
  <c r="C7" i="18"/>
  <c r="A24" i="18" s="1"/>
  <c r="I78" i="8"/>
  <c r="A99" i="18"/>
  <c r="A107" i="18"/>
  <c r="A106" i="18"/>
  <c r="A98" i="18"/>
  <c r="D75" i="18"/>
  <c r="B75" i="18"/>
  <c r="B49" i="8"/>
  <c r="C75" i="18"/>
  <c r="G34" i="8"/>
  <c r="B57" i="18"/>
  <c r="C46" i="18"/>
  <c r="C48" i="18"/>
  <c r="C49" i="18"/>
  <c r="A105" i="18"/>
  <c r="A97" i="18"/>
  <c r="E38" i="8"/>
  <c r="C61" i="18"/>
  <c r="F38" i="8"/>
  <c r="C62" i="18"/>
  <c r="D38" i="8"/>
  <c r="C60" i="18"/>
  <c r="C38" i="8"/>
  <c r="C59" i="18"/>
  <c r="G38" i="8"/>
  <c r="C37" i="18"/>
  <c r="B37" i="18"/>
  <c r="A37" i="18"/>
  <c r="G80" i="8"/>
  <c r="B48" i="8"/>
  <c r="I80" i="8"/>
  <c r="G70" i="8"/>
  <c r="F48" i="8"/>
  <c r="G75" i="8"/>
  <c r="F78" i="8"/>
  <c r="J126" i="8"/>
  <c r="B50" i="8"/>
  <c r="H75" i="8"/>
  <c r="J75" i="8"/>
  <c r="I75" i="8"/>
  <c r="I79" i="8"/>
  <c r="H80" i="8"/>
  <c r="K56" i="8"/>
  <c r="D56" i="8"/>
  <c r="I70" i="8"/>
  <c r="H79" i="8"/>
  <c r="D57" i="8"/>
  <c r="K57" i="8"/>
  <c r="B58" i="8"/>
  <c r="H25" i="8"/>
  <c r="B59" i="8" s="1"/>
  <c r="K55" i="8"/>
  <c r="D55" i="8"/>
  <c r="G78" i="8"/>
  <c r="I25" i="8"/>
  <c r="F80" i="8"/>
  <c r="G25" i="8"/>
  <c r="H70" i="8"/>
  <c r="H74" i="8" l="1"/>
  <c r="F74" i="8"/>
  <c r="C39" i="8"/>
  <c r="K58" i="8"/>
  <c r="B108" i="18" s="1"/>
  <c r="A100" i="18"/>
  <c r="A108" i="18"/>
  <c r="A101" i="18"/>
  <c r="A109" i="18"/>
  <c r="B107" i="18"/>
  <c r="B106" i="18"/>
  <c r="C98" i="18"/>
  <c r="C99" i="18"/>
  <c r="C97" i="18"/>
  <c r="B105" i="18"/>
  <c r="G81" i="8"/>
  <c r="G95" i="8" s="1"/>
  <c r="I81" i="8"/>
  <c r="I95" i="8" s="1"/>
  <c r="F81" i="8"/>
  <c r="F95" i="8" s="1"/>
  <c r="G74" i="8"/>
  <c r="I74" i="8"/>
  <c r="J74" i="8"/>
  <c r="E118" i="8"/>
  <c r="E119" i="8" s="1"/>
  <c r="E57" i="8"/>
  <c r="H81" i="8"/>
  <c r="H95" i="8" s="1"/>
  <c r="E56" i="8"/>
  <c r="L56" i="8"/>
  <c r="D59" i="8"/>
  <c r="K59" i="8"/>
  <c r="L57" i="8"/>
  <c r="D58" i="8"/>
  <c r="L55" i="8"/>
  <c r="J70" i="8"/>
  <c r="J130" i="8"/>
  <c r="J80" i="8"/>
  <c r="J78" i="8"/>
  <c r="J79" i="8"/>
  <c r="E55" i="8"/>
  <c r="J73" i="8" l="1"/>
  <c r="J76" i="8" s="1"/>
  <c r="C64" i="18"/>
  <c r="L58" i="8"/>
  <c r="I73" i="8"/>
  <c r="I76" i="8" s="1"/>
  <c r="I90" i="8" s="1"/>
  <c r="G73" i="8"/>
  <c r="G76" i="8" s="1"/>
  <c r="G90" i="8" s="1"/>
  <c r="H73" i="8"/>
  <c r="H76" i="8" s="1"/>
  <c r="H83" i="8" s="1"/>
  <c r="A112" i="8" s="1"/>
  <c r="F73" i="8"/>
  <c r="B109" i="18"/>
  <c r="C101" i="18"/>
  <c r="C100" i="18"/>
  <c r="E58" i="8"/>
  <c r="L59" i="8"/>
  <c r="E59" i="8"/>
  <c r="J81" i="8"/>
  <c r="L88" i="8" l="1"/>
  <c r="L89" i="8"/>
  <c r="M88" i="8" s="1"/>
  <c r="F76" i="8"/>
  <c r="F90" i="8" s="1"/>
  <c r="J90" i="8"/>
  <c r="G83" i="8"/>
  <c r="G97" i="8" s="1"/>
  <c r="G100" i="8" s="1"/>
  <c r="G104" i="8" s="1"/>
  <c r="G105" i="8" s="1"/>
  <c r="C106" i="18" s="1"/>
  <c r="I83" i="8"/>
  <c r="A113" i="8" s="1"/>
  <c r="C113" i="8" s="1"/>
  <c r="H90" i="8"/>
  <c r="H97" i="8" s="1"/>
  <c r="H100" i="8" s="1"/>
  <c r="H104" i="8" s="1"/>
  <c r="H105" i="8" s="1"/>
  <c r="C107" i="18" s="1"/>
  <c r="C112" i="8"/>
  <c r="B112" i="8"/>
  <c r="J95" i="8"/>
  <c r="J83" i="8"/>
  <c r="F83" i="8" l="1"/>
  <c r="F97" i="8" s="1"/>
  <c r="I97" i="8"/>
  <c r="I100" i="8" s="1"/>
  <c r="I104" i="8" s="1"/>
  <c r="I105" i="8" s="1"/>
  <c r="C108" i="18" s="1"/>
  <c r="B113" i="8"/>
  <c r="A111" i="8"/>
  <c r="B111" i="8" s="1"/>
  <c r="A114" i="8"/>
  <c r="J97" i="8"/>
  <c r="J100" i="8" s="1"/>
  <c r="A110" i="8" l="1"/>
  <c r="C110" i="8" s="1"/>
  <c r="C111" i="8"/>
  <c r="F100" i="8"/>
  <c r="F104" i="8" s="1"/>
  <c r="F105" i="8" s="1"/>
  <c r="J104" i="8"/>
  <c r="J105" i="8" s="1"/>
  <c r="C109" i="18" s="1"/>
  <c r="B114" i="8"/>
  <c r="C114" i="8"/>
  <c r="B110" i="8" l="1"/>
  <c r="B115" i="8" s="1"/>
  <c r="C105" i="18"/>
  <c r="G119" i="8"/>
  <c r="C115" i="8"/>
  <c r="B119" i="8" s="1"/>
  <c r="G133" i="8" s="1"/>
  <c r="B117" i="8" l="1"/>
  <c r="D133" i="8" s="1"/>
  <c r="G114" i="8" l="1"/>
  <c r="G110" i="8"/>
  <c r="G112" i="8"/>
  <c r="G113" i="8"/>
  <c r="G111" i="8"/>
  <c r="B118" i="8"/>
  <c r="D113" i="8" s="1"/>
  <c r="E113" i="8" s="1"/>
  <c r="K129" i="8" s="1"/>
  <c r="F136" i="8"/>
  <c r="F137" i="8" s="1"/>
  <c r="G115" i="8" l="1"/>
  <c r="I118" i="8" s="1"/>
  <c r="I119" i="8" s="1"/>
  <c r="D114" i="8"/>
  <c r="E114" i="8" s="1"/>
  <c r="K130" i="8" s="1"/>
  <c r="D111" i="8"/>
  <c r="E111" i="8" s="1"/>
  <c r="K127" i="8" s="1"/>
  <c r="D110" i="8"/>
  <c r="E110" i="8" s="1"/>
  <c r="D112" i="8"/>
  <c r="E112" i="8" s="1"/>
  <c r="K128" i="8" s="1"/>
  <c r="D122" i="8" l="1"/>
  <c r="H139" i="8" s="1"/>
  <c r="H140" i="8" s="1"/>
  <c r="D139" i="18" s="1"/>
  <c r="D123" i="8"/>
  <c r="F139" i="8" s="1"/>
  <c r="F140" i="8" s="1"/>
  <c r="B139" i="18" s="1"/>
  <c r="K126" i="8"/>
  <c r="H123" i="8" l="1"/>
</calcChain>
</file>

<file path=xl/sharedStrings.xml><?xml version="1.0" encoding="utf-8"?>
<sst xmlns="http://schemas.openxmlformats.org/spreadsheetml/2006/main" count="1360" uniqueCount="493">
  <si>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</si>
  <si>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</si>
  <si>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</si>
  <si>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</si>
  <si>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</si>
  <si>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</si>
  <si>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</si>
  <si>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</si>
  <si>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</si>
  <si>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</si>
  <si>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>DATOS DE LA BALANZA A CALIBRAR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</si>
  <si>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</si>
  <si>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</si>
  <si>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</si>
  <si>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</si>
  <si>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</si>
  <si>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</si>
  <si>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</si>
  <si>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</si>
  <si>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</si>
  <si>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</si>
  <si>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</si>
  <si>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</si>
  <si>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</si>
  <si>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</si>
  <si>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</si>
  <si>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</si>
  <si>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</si>
  <si>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</si>
  <si>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</si>
  <si>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</si>
  <si>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</si>
  <si>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</si>
  <si>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</si>
  <si>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</si>
  <si>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</si>
  <si>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</si>
  <si>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</si>
  <si>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</si>
  <si>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</si>
  <si>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</si>
  <si>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</si>
  <si>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</si>
  <si>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</si>
  <si>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</si>
  <si>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</si>
  <si>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</si>
  <si>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</si>
  <si>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</si>
  <si>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</si>
  <si>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</si>
  <si>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</si>
  <si>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</si>
  <si>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</si>
  <si>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</si>
  <si>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</si>
  <si>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</si>
  <si>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</si>
  <si>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</si>
  <si>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</si>
  <si>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</si>
  <si>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</si>
  <si>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</si>
  <si>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</si>
  <si>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</si>
  <si>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</si>
  <si>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</si>
  <si>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</si>
  <si>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</si>
  <si>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</si>
  <si>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</si>
  <si>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</si>
  <si>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</si>
  <si>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</si>
  <si>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</si>
  <si>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</si>
  <si>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</si>
  <si>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</si>
  <si>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</si>
  <si>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</si>
  <si>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</si>
  <si>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</si>
  <si>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TEMPERATURA °C</t>
  </si>
  <si>
    <t>HUMEDAD RELATIVA % rH</t>
  </si>
  <si>
    <t>PRESIÓN ATMOSFÉRICA  hPa</t>
  </si>
  <si>
    <t>g</t>
  </si>
  <si>
    <t>Figura 1</t>
  </si>
  <si>
    <t>Prueba de excentricidad.</t>
  </si>
  <si>
    <t>INDICACIÓN g</t>
  </si>
  <si>
    <t>Prueba de repetibilidad.</t>
  </si>
  <si>
    <t>La incertidumbre estándar del error obtenida durante el ejercicio de calibración, debe incrementarse por la adición de la incertidumbre estándar de la lectura, ver modelo.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</si>
  <si>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</si>
  <si>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</si>
  <si>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</si>
  <si>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</si>
  <si>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</si>
  <si>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</si>
  <si>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</si>
  <si>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</si>
  <si>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</si>
  <si>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</si>
  <si>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</si>
  <si>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</si>
  <si>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</si>
  <si>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>ANTES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</si>
  <si>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</si>
  <si>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</si>
  <si>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</si>
  <si>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</si>
  <si>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</si>
  <si>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</si>
  <si>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</si>
  <si>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</si>
  <si>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</si>
  <si>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 xml:space="preserve">Escalón de verificación    </t>
  </si>
  <si>
    <t xml:space="preserve">    ______________________________</t>
  </si>
  <si>
    <t>E (R)  (mg) =</t>
  </si>
  <si>
    <t>………………………………..FIN DE ESTE DOCUMENTO………………………………..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</si>
  <si>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</si>
  <si>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</si>
  <si>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</si>
  <si>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</si>
  <si>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</si>
  <si>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</si>
  <si>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</si>
  <si>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</si>
  <si>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</si>
  <si>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</si>
  <si>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</si>
  <si>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</si>
  <si>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DIF. (g)</t>
  </si>
  <si>
    <t>Sartorius</t>
  </si>
  <si>
    <t>Indicación 1(g)</t>
  </si>
  <si>
    <t>Información</t>
  </si>
  <si>
    <t>No</t>
  </si>
  <si>
    <t>Fecha de Recepción</t>
  </si>
  <si>
    <t>Lugar de Calibración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</si>
  <si>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</si>
  <si>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</si>
  <si>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</si>
  <si>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</si>
  <si>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</si>
  <si>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</si>
  <si>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</si>
  <si>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</si>
  <si>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</si>
  <si>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</si>
  <si>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</si>
  <si>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</si>
  <si>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</si>
  <si>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</si>
  <si>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</si>
  <si>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</si>
  <si>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</si>
  <si>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</si>
  <si>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</si>
  <si>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</si>
  <si>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</si>
  <si>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</si>
  <si>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</si>
  <si>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</si>
  <si>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</si>
  <si>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</si>
  <si>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</si>
  <si>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</si>
  <si>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</si>
  <si>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</si>
  <si>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</si>
  <si>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</si>
  <si>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</si>
  <si>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</si>
  <si>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</si>
  <si>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</si>
  <si>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</si>
  <si>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</si>
  <si>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</si>
  <si>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</si>
  <si>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</si>
  <si>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</si>
  <si>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</si>
  <si>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</si>
  <si>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</si>
  <si>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</si>
  <si>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</si>
  <si>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</si>
  <si>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</si>
  <si>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</si>
  <si>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</si>
  <si>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</si>
  <si>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</si>
  <si>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</si>
  <si>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</si>
  <si>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</si>
  <si>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</si>
  <si>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</si>
  <si>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</si>
  <si>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</si>
  <si>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</si>
  <si>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</si>
  <si>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</si>
  <si>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</si>
  <si>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</si>
  <si>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</si>
  <si>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</si>
  <si>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</si>
  <si>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</si>
  <si>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</si>
  <si>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</si>
  <si>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</si>
  <si>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</si>
  <si>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</si>
  <si>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</si>
  <si>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</si>
  <si>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</si>
  <si>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</si>
  <si>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</si>
  <si>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</si>
  <si>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</si>
  <si>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</si>
  <si>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</si>
  <si>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</si>
  <si>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</si>
  <si>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</si>
  <si>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</si>
  <si>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</si>
  <si>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</si>
  <si>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</si>
  <si>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</si>
  <si>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</si>
  <si>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</si>
  <si>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</si>
  <si>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</si>
  <si>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</si>
  <si>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</si>
  <si>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</si>
  <si>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</si>
  <si>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</si>
  <si>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</si>
  <si>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</si>
  <si>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</si>
  <si>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</si>
  <si>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</si>
  <si>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</si>
  <si>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</si>
  <si>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</si>
  <si>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</si>
  <si>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</si>
  <si>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</si>
  <si>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</si>
  <si>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</si>
  <si>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</si>
  <si>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</si>
  <si>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</si>
  <si>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</si>
  <si>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</si>
  <si>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</si>
  <si>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</si>
  <si>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</si>
  <si>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</si>
  <si>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</si>
  <si>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</si>
  <si>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</si>
  <si>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</si>
  <si>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</si>
  <si>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</si>
  <si>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</si>
  <si>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</si>
  <si>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</si>
  <si>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</si>
  <si>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</si>
  <si>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</si>
  <si>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</si>
  <si>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</si>
  <si>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</si>
  <si>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</si>
  <si>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</si>
  <si>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</si>
  <si>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</si>
  <si>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</si>
  <si>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</si>
  <si>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</si>
  <si>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</si>
  <si>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</si>
  <si>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</si>
  <si>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</si>
  <si>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</si>
  <si>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</si>
  <si>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</si>
  <si>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</si>
  <si>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</si>
  <si>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</si>
  <si>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</si>
  <si>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</si>
  <si>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</si>
  <si>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</si>
  <si>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</si>
  <si>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</si>
  <si>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</si>
  <si>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</si>
  <si>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</si>
  <si>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</si>
  <si>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</si>
  <si>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</si>
  <si>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</si>
  <si>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</si>
  <si>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</si>
  <si>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</si>
  <si>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</si>
  <si>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</si>
  <si>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</si>
  <si>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</si>
  <si>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</si>
  <si>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</si>
  <si>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</si>
  <si>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</si>
  <si>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>CAT-144-16 - CAH-060-16 - CDT CERT-16-EMP-1056-2567</t>
  </si>
  <si>
    <t xml:space="preserve">M-012  </t>
  </si>
  <si>
    <t>°C</t>
  </si>
  <si>
    <t>%Rh</t>
  </si>
  <si>
    <t>hPa</t>
  </si>
  <si>
    <t>Temperatura</t>
  </si>
  <si>
    <t>Humedad</t>
  </si>
  <si>
    <t>2016-11-01 - 2016-11-02 -    2016-10-28</t>
  </si>
  <si>
    <t>Codigo Interno</t>
  </si>
  <si>
    <t xml:space="preserve">  V-002 </t>
  </si>
  <si>
    <t>2016-07-29 - 2016-08-04 -    2016-09-12</t>
  </si>
  <si>
    <t>INM 1995-1998-2149</t>
  </si>
  <si>
    <t>Presión Admosferica</t>
  </si>
  <si>
    <t xml:space="preserve">M-012 </t>
  </si>
  <si>
    <t xml:space="preserve">M-013 </t>
  </si>
  <si>
    <t>2016-10-31 - 2016-10-31 -    2016-10-28</t>
  </si>
  <si>
    <t>CAT-144-16 - CAH-060-16 - CDT CERT-16-EMP-1057-2567</t>
  </si>
  <si>
    <t xml:space="preserve">M-010 </t>
  </si>
  <si>
    <t>INM-1996</t>
  </si>
  <si>
    <t>INM 1996-1999-2148</t>
  </si>
  <si>
    <t>INM- 1999</t>
  </si>
  <si>
    <t>INM - 2148</t>
  </si>
  <si>
    <t xml:space="preserve">M-011 </t>
  </si>
  <si>
    <t>INM-1994</t>
  </si>
  <si>
    <t>2016-08-04 - 2016-08-04 -    2016-09-12</t>
  </si>
  <si>
    <t>INM-1994-1997-2147</t>
  </si>
  <si>
    <t>INM-1997</t>
  </si>
  <si>
    <t>INM-2147</t>
  </si>
  <si>
    <t>V-002</t>
  </si>
  <si>
    <t xml:space="preserve">M-013  </t>
  </si>
  <si>
    <t>M-011</t>
  </si>
  <si>
    <t>INCERTIDUMBRE EXPANDIDA (mg)</t>
  </si>
  <si>
    <t>INCERTIDUMBRE EXPANDIDA (g)</t>
  </si>
  <si>
    <t xml:space="preserve">Promedio Condiciones Ambientales </t>
  </si>
  <si>
    <t>Promedio Condiciones Ambientales Corregidas</t>
  </si>
  <si>
    <t>condiciones de medición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</si>
  <si>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</si>
  <si>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</si>
  <si>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</si>
  <si>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</si>
  <si>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t>U (E)  (g) =</t>
  </si>
  <si>
    <t>masa para completar la carga  Max (g)</t>
  </si>
  <si>
    <t>HOJA DE CÁLCULO PARA CALIBRACIÓN DE BALANZAS</t>
  </si>
  <si>
    <t>Metrólogo</t>
  </si>
  <si>
    <t>INM</t>
  </si>
  <si>
    <t>1403 DK</t>
  </si>
  <si>
    <t>1393 DK</t>
  </si>
  <si>
    <t>1402 DK</t>
  </si>
  <si>
    <t>1396 DK</t>
  </si>
  <si>
    <t>1392 DK</t>
  </si>
  <si>
    <t>R (mg)</t>
  </si>
  <si>
    <t>E (R)  (g) =</t>
  </si>
  <si>
    <t>INM 3392</t>
  </si>
  <si>
    <t>INM 3399</t>
  </si>
  <si>
    <t>INM 3391</t>
  </si>
  <si>
    <t>INM 3398</t>
  </si>
  <si>
    <t>INM 3411</t>
  </si>
  <si>
    <t>INM 3412</t>
  </si>
  <si>
    <t>INM 3375</t>
  </si>
  <si>
    <t>INM 3381</t>
  </si>
  <si>
    <t>INM 3374</t>
  </si>
  <si>
    <t>INM 3379</t>
  </si>
  <si>
    <t>Patrón Utilizado en la Calibración - Termo higrómetros</t>
  </si>
  <si>
    <t>Código Interno</t>
  </si>
  <si>
    <t>Presión Atmosférica</t>
  </si>
  <si>
    <t>Metrólogos</t>
  </si>
  <si>
    <t>Carga Max (g)</t>
  </si>
  <si>
    <t xml:space="preserve">División de Escala (d)  (g)  </t>
  </si>
  <si>
    <t>N °  Certificado Adherido</t>
  </si>
  <si>
    <t xml:space="preserve">Solicitante                    </t>
  </si>
  <si>
    <t>INCERTIDUMBRE ESTÁNDAR MASA DE REFERENCIA   (mg)</t>
  </si>
  <si>
    <t>INCERTIDUMBRE ESTÁNDAR DEL ERROR   (mg)</t>
  </si>
  <si>
    <t>APROXIMACION POR LINEA RECTA QUE CRUZA POR CERO PARA EL ERROR   (mg)</t>
  </si>
  <si>
    <t>1405 DK</t>
  </si>
  <si>
    <t>Antes de Ajuste</t>
  </si>
  <si>
    <t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MWG7/cg-01/v.00.</t>
  </si>
  <si>
    <t>Después de Ajuste</t>
  </si>
  <si>
    <t xml:space="preserve"> PRUEBA DE EXCENTRICIDAD</t>
  </si>
  <si>
    <t xml:space="preserve">  PRUEBA DE REPETIBILIDAD</t>
  </si>
  <si>
    <t>PRUEBA DE ERROR DE INDICACIÓN</t>
  </si>
  <si>
    <t>+</t>
  </si>
  <si>
    <t>Medición en condición de calibración</t>
  </si>
  <si>
    <t>REPETICIÓN. N°</t>
  </si>
  <si>
    <t xml:space="preserve"> Certificado N°</t>
  </si>
  <si>
    <t xml:space="preserve"> Fecha de elaboración: </t>
  </si>
  <si>
    <t>DESPUÉS DE AJUSTE</t>
  </si>
  <si>
    <t>INM 2268</t>
  </si>
  <si>
    <t>2018-06-07 / - 2018-06-13 -    2018-08-21</t>
  </si>
  <si>
    <t>INM  3392- 3399-2268</t>
  </si>
  <si>
    <t>INM 2266</t>
  </si>
  <si>
    <t>2018-06-07 /-  2018-06-13 -/  2018-08-21</t>
  </si>
  <si>
    <t>INM-3391, INM 3398 - INM 2266</t>
  </si>
  <si>
    <t>INM 2267</t>
  </si>
  <si>
    <t>2018-06-14 - / 2018-06-15 -    2018-08-21</t>
  </si>
  <si>
    <t>INM 3411 - INM 3412 -  INM 2267</t>
  </si>
  <si>
    <t>INM - 2264</t>
  </si>
  <si>
    <t>2018/06/15- 2018/06/15-    2018-08-21</t>
  </si>
  <si>
    <t>INM 3375 - INM 3381 -   INM 2264</t>
  </si>
  <si>
    <t>INM 2265</t>
  </si>
  <si>
    <t>2018-06-01 -/  2018-06-06 -   2018-08-21</t>
  </si>
  <si>
    <t>INM-3374-INM 3379-INM 2265</t>
  </si>
  <si>
    <t>°C m</t>
  </si>
  <si>
    <t>°C b</t>
  </si>
  <si>
    <t>%rH m</t>
  </si>
  <si>
    <t>%rH b</t>
  </si>
  <si>
    <t>hPa m</t>
  </si>
  <si>
    <t>hPa b</t>
  </si>
  <si>
    <t xml:space="preserve"> Director Técnico </t>
  </si>
  <si>
    <t xml:space="preserve"> Metrólogo de Masa y Volumen</t>
  </si>
  <si>
    <t xml:space="preserve"> Sustituto del Director Técnico 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</si>
  <si>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</si>
  <si>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E2   2 g AKJ</t>
  </si>
  <si>
    <t>E2   20 g AKA</t>
  </si>
  <si>
    <t>E2   200 g ALW</t>
  </si>
  <si>
    <t>E2   2000 g ABY</t>
  </si>
  <si>
    <t>u (mg)</t>
  </si>
  <si>
    <t>Intervalo de Medición (g) e incertidumbre expandida U</t>
  </si>
  <si>
    <t>Juego Viajeras 1</t>
  </si>
  <si>
    <t>Masa  Convencional (g)</t>
  </si>
  <si>
    <t>Error de Indicación en (g)</t>
  </si>
  <si>
    <t>Indicación 1 (g)</t>
  </si>
  <si>
    <t>La prueba para los errores de las indicaciones se realizó según el numeral  5,2. de la Guía SIM MWG7/cg-01/v.00.</t>
  </si>
  <si>
    <t>• La balanza debe ubicarse en una base apropiada para evitar vibraciones.</t>
  </si>
  <si>
    <t>• En este certificado el signo decimal es la coma (,).</t>
  </si>
  <si>
    <t xml:space="preserve">
</t>
  </si>
  <si>
    <t>Juego viajeras  2</t>
  </si>
  <si>
    <t>Incertidumbre dominante</t>
  </si>
  <si>
    <t>SI</t>
  </si>
  <si>
    <t>≤ 0,3</t>
  </si>
  <si>
    <t>K=1,65</t>
  </si>
  <si>
    <t>Resultado</t>
  </si>
  <si>
    <r>
      <rPr>
        <b/>
        <i/>
        <sz val="12"/>
        <rFont val="Tahoma"/>
        <family val="2"/>
      </rPr>
      <t>≥</t>
    </r>
    <r>
      <rPr>
        <b/>
        <i/>
        <sz val="12"/>
        <rFont val="Arial"/>
        <family val="2"/>
      </rPr>
      <t xml:space="preserve"> 0,3</t>
    </r>
  </si>
  <si>
    <t>K= 2,0</t>
  </si>
  <si>
    <t>Condicional incertidumbre dominante</t>
  </si>
  <si>
    <t>1.   INFORMACIÓN DEL EQUIPO SOMETIDO A CALIBRACIÓN</t>
  </si>
  <si>
    <t xml:space="preserve">Balanza </t>
  </si>
  <si>
    <t>2.   LUGAR Y DIRECCIÓN DE CALIBRACIÓN</t>
  </si>
  <si>
    <t>3.   CÓDIGO INTERNO</t>
  </si>
  <si>
    <t>4. MÉTODO DE CALIBRACIÓN UTILIZADO</t>
  </si>
  <si>
    <t>5.   CONDICIONES AMBIENTALES CORREGIDAS.</t>
  </si>
  <si>
    <t>Propiedad de un resultado de medida por la cual el resultado puede relacionarse con una referencia mediante una cadena ininterrumpida y documentada de calibraciones, cada una de las cuales contribuye a la incertidumbre de medida.</t>
  </si>
  <si>
    <t>7.   RESULTADOS DE LA CALIBRACIÓN</t>
  </si>
  <si>
    <t>DIF MAX EXC</t>
  </si>
  <si>
    <t xml:space="preserve">8.   INCERTIDUMBRE EXPANDIDA DE LOS ERRORES   </t>
  </si>
  <si>
    <t>9.   OBSERVACIONES</t>
  </si>
  <si>
    <t>U (g)    =</t>
  </si>
  <si>
    <t>• Revisar periódicamente el comportamiento de la balanza mediante el control de pesas calibradas</t>
  </si>
  <si>
    <t>Firma Autorizada</t>
  </si>
  <si>
    <t>Calibrado por:</t>
  </si>
  <si>
    <t>Masa Convencional (g)</t>
  </si>
  <si>
    <t>Nombre del Metrólogo</t>
  </si>
  <si>
    <r>
      <rPr>
        <b/>
        <i/>
        <sz val="12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*</t>
    </r>
  </si>
  <si>
    <t xml:space="preserve">División de escala          </t>
  </si>
  <si>
    <t>En la calibración se utilizo el método establecido en el documento normativo guía para la calibración de los instrumentos para pesaje de funcionamiento no automático (SIM MWG7/cg-01v.00) .</t>
  </si>
  <si>
    <t>±U (g)</t>
  </si>
  <si>
    <t>6.   TRAZABILIDAD METROLÓGICA</t>
  </si>
  <si>
    <t>Intervalo</t>
  </si>
  <si>
    <t>Clase de Pesas</t>
  </si>
  <si>
    <t>Pesas Utilizadas</t>
  </si>
  <si>
    <t>Esta prueba evalúa las indicaciones de una misma carga ubicada en diferentes posiciones del receptor de carga (figura 1), se realizó con (1/3) un tercio de la carga máxima de acuerdo a la Guía SIM MWG7/cg-01/v.00, numeral 5.3.</t>
  </si>
  <si>
    <t>La incertidumbre reportada se ha determinado multiplicando la incertidumbre estándar combinada, por el factor de cobertura K=2,0 con el cual se logra un nivel de confianza de aproximadamente 95,45%, teniendo en cuenta lo definido en la guía para estimar la incertidumbre de la medición.</t>
  </si>
  <si>
    <t>• No exponer la balanza a temperaturas extremas, vapores químicos agresivos, humedad, choques, vibraciones y evitar campos magnéticos.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</si>
  <si>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Las condiciones ambientales se refieren al   inicio , durante y al final de la calibración.</t>
    </r>
  </si>
  <si>
    <t>No. Certificado</t>
  </si>
  <si>
    <t>• El desplazamiento de la balanza a otro lugar, con otras condiciones puede invalidar la calibración</t>
  </si>
  <si>
    <t xml:space="preserve">Escalón de Verificaciónen  (g)  </t>
  </si>
  <si>
    <t>Objeto:</t>
  </si>
  <si>
    <t xml:space="preserve">Fabricante: </t>
  </si>
  <si>
    <t>Numero de serie:</t>
  </si>
  <si>
    <t>Modelo:</t>
  </si>
  <si>
    <t xml:space="preserve">Carga Máx.:                      </t>
  </si>
  <si>
    <t xml:space="preserve">Carga Mín.:                       </t>
  </si>
  <si>
    <t xml:space="preserve">División de escala:         </t>
  </si>
  <si>
    <t xml:space="preserve">Escalón de verificación: </t>
  </si>
  <si>
    <t>Fabricante:</t>
  </si>
  <si>
    <t>Número de serie:</t>
  </si>
  <si>
    <t>Modificación al Certificado N°</t>
  </si>
  <si>
    <t xml:space="preserve"> Modificación al Certificado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</si>
</sst>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  <numFmt numFmtId="179" formatCode="#,##0.000"/>
    <numFmt numFmtId="180" formatCode="0.000_ &quot;g&quot;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b/>
      <i/>
      <sz val="12"/>
      <name val="Tahoma"/>
      <family val="2"/>
    </font>
    <font>
      <b/>
      <sz val="2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sz val="12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6FD03"/>
        <bgColor indexed="64"/>
      </patternFill>
    </fill>
    <fill>
      <patternFill patternType="solid">
        <fgColor theme="0" tint="-0.3499862666707357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5" borderId="1" applyBorder="0">
      <alignment horizontal="center" vertical="center"/>
    </xf>
  </cellStyleXfs>
  <cellXfs count="1364">
    <xf numFmtId="0" fontId="0" fillId="0" borderId="0" xfId="0"/>
    <xf numFmtId="2" fontId="7" fillId="0" borderId="0" xfId="0" applyNumberFormat="1" applyFo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2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Border="1" applyProtection="1">
      <protection hidden="1"/>
    </xf>
    <xf numFmtId="2" fontId="7" fillId="2" borderId="0" xfId="0" applyNumberFormat="1" applyFont="1" applyFill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2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horizontal="center"/>
      <protection hidden="1"/>
    </xf>
    <xf numFmtId="2" fontId="9" fillId="0" borderId="0" xfId="2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protection hidden="1"/>
    </xf>
    <xf numFmtId="2" fontId="8" fillId="0" borderId="0" xfId="2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177" fontId="8" fillId="0" borderId="0" xfId="2" applyNumberFormat="1" applyFont="1" applyFill="1" applyBorder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2" fontId="7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0" xfId="0" applyNumberFormat="1" applyFont="1" applyFill="1" applyBorder="1" applyAlignment="1" applyProtection="1">
      <alignment vertical="center" wrapText="1"/>
      <protection hidden="1"/>
    </xf>
    <xf numFmtId="2" fontId="13" fillId="6" borderId="20" xfId="0" applyNumberFormat="1" applyFont="1" applyFill="1" applyBorder="1" applyAlignment="1" applyProtection="1">
      <alignment horizontal="center" vertical="center"/>
      <protection hidden="1"/>
    </xf>
    <xf numFmtId="2" fontId="13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36" xfId="0" applyNumberFormat="1" applyFont="1" applyFill="1" applyBorder="1" applyAlignment="1" applyProtection="1">
      <alignment horizontal="center" vertical="center"/>
      <protection hidden="1"/>
    </xf>
    <xf numFmtId="1" fontId="7" fillId="9" borderId="36" xfId="0" applyNumberFormat="1" applyFont="1" applyFill="1" applyBorder="1" applyAlignment="1" applyProtection="1">
      <alignment horizontal="center" vertical="center"/>
      <protection hidden="1"/>
    </xf>
    <xf numFmtId="171" fontId="13" fillId="9" borderId="1" xfId="0" applyNumberFormat="1" applyFont="1" applyFill="1" applyBorder="1" applyAlignment="1" applyProtection="1">
      <alignment horizontal="center" vertical="center"/>
      <protection hidden="1"/>
    </xf>
    <xf numFmtId="171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Protection="1"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Protection="1">
      <protection hidden="1"/>
    </xf>
    <xf numFmtId="166" fontId="7" fillId="9" borderId="1" xfId="0" applyNumberFormat="1" applyFont="1" applyFill="1" applyBorder="1" applyAlignment="1" applyProtection="1">
      <alignment horizontal="center" vertical="center"/>
      <protection hidden="1"/>
    </xf>
    <xf numFmtId="165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169" fontId="7" fillId="0" borderId="0" xfId="0" applyNumberFormat="1" applyFont="1" applyFill="1" applyBorder="1" applyProtection="1">
      <protection hidden="1"/>
    </xf>
    <xf numFmtId="2" fontId="14" fillId="3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9" fillId="9" borderId="1" xfId="0" applyNumberFormat="1" applyFont="1" applyFill="1" applyBorder="1" applyAlignment="1" applyProtection="1">
      <alignment horizontal="center" vertical="center"/>
      <protection hidden="1"/>
    </xf>
    <xf numFmtId="2" fontId="9" fillId="9" borderId="1" xfId="0" applyNumberFormat="1" applyFont="1" applyFill="1" applyBorder="1" applyAlignment="1" applyProtection="1">
      <alignment horizontal="center"/>
      <protection hidden="1"/>
    </xf>
    <xf numFmtId="167" fontId="9" fillId="9" borderId="1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9" borderId="1" xfId="0" applyNumberFormat="1" applyFont="1" applyFill="1" applyBorder="1" applyAlignment="1" applyProtection="1">
      <alignment horizontal="center" vertical="center"/>
      <protection hidden="1"/>
    </xf>
    <xf numFmtId="1" fontId="7" fillId="9" borderId="20" xfId="0" applyNumberFormat="1" applyFont="1" applyFill="1" applyBorder="1" applyAlignment="1" applyProtection="1">
      <alignment horizontal="center" vertical="center"/>
      <protection hidden="1"/>
    </xf>
    <xf numFmtId="165" fontId="8" fillId="9" borderId="18" xfId="0" applyNumberFormat="1" applyFont="1" applyFill="1" applyBorder="1" applyAlignment="1" applyProtection="1">
      <alignment horizontal="center" vertical="center"/>
      <protection hidden="1"/>
    </xf>
    <xf numFmtId="165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Protection="1">
      <protection hidden="1"/>
    </xf>
    <xf numFmtId="174" fontId="7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2" xfId="1" applyNumberFormat="1" applyFont="1" applyFill="1" applyBorder="1" applyAlignment="1" applyProtection="1">
      <alignment vertical="center" wrapText="1"/>
      <protection hidden="1"/>
    </xf>
    <xf numFmtId="174" fontId="7" fillId="9" borderId="3" xfId="0" applyNumberFormat="1" applyFont="1" applyFill="1" applyBorder="1" applyAlignment="1" applyProtection="1">
      <alignment vertical="center" wrapText="1"/>
      <protection hidden="1"/>
    </xf>
    <xf numFmtId="174" fontId="10" fillId="9" borderId="3" xfId="0" applyNumberFormat="1" applyFont="1" applyFill="1" applyBorder="1" applyAlignment="1" applyProtection="1">
      <alignment vertical="center" wrapText="1"/>
      <protection hidden="1"/>
    </xf>
    <xf numFmtId="173" fontId="7" fillId="2" borderId="0" xfId="0" applyNumberFormat="1" applyFont="1" applyFill="1" applyBorder="1" applyProtection="1">
      <protection hidden="1"/>
    </xf>
    <xf numFmtId="2" fontId="7" fillId="11" borderId="19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left" vertical="center"/>
      <protection hidden="1"/>
    </xf>
    <xf numFmtId="11" fontId="7" fillId="2" borderId="0" xfId="0" applyNumberFormat="1" applyFont="1" applyFill="1" applyBorder="1" applyProtection="1"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14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2" fontId="17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17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48" xfId="2" applyNumberFormat="1" applyFont="1" applyFill="1" applyBorder="1" applyAlignment="1" applyProtection="1">
      <alignment horizontal="center" vertical="center" wrapText="1"/>
      <protection hidden="1"/>
    </xf>
    <xf numFmtId="2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7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3" borderId="16" xfId="0" applyNumberFormat="1" applyFont="1" applyFill="1" applyBorder="1" applyAlignment="1" applyProtection="1">
      <alignment vertic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36" xfId="0" applyNumberFormat="1" applyFont="1" applyFill="1" applyBorder="1" applyAlignment="1" applyProtection="1">
      <alignment vertical="center" wrapText="1"/>
      <protection hidden="1"/>
    </xf>
    <xf numFmtId="2" fontId="7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2" fontId="14" fillId="2" borderId="0" xfId="0" applyNumberFormat="1" applyFont="1" applyFill="1" applyBorder="1" applyProtection="1">
      <protection hidden="1"/>
    </xf>
    <xf numFmtId="171" fontId="13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39" fillId="3" borderId="16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0" fontId="32" fillId="0" borderId="0" xfId="0" applyFont="1" applyBorder="1" applyProtection="1"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36" xfId="0" applyFont="1" applyBorder="1" applyAlignment="1" applyProtection="1">
      <alignment horizontal="center"/>
      <protection hidden="1"/>
    </xf>
    <xf numFmtId="0" fontId="31" fillId="0" borderId="4" xfId="0" applyNumberFormat="1" applyFont="1" applyBorder="1" applyAlignment="1" applyProtection="1">
      <protection hidden="1"/>
    </xf>
    <xf numFmtId="0" fontId="31" fillId="0" borderId="5" xfId="0" applyNumberFormat="1" applyFont="1" applyBorder="1" applyAlignment="1" applyProtection="1">
      <protection hidden="1"/>
    </xf>
    <xf numFmtId="0" fontId="31" fillId="0" borderId="40" xfId="0" applyNumberFormat="1" applyFont="1" applyBorder="1" applyAlignment="1" applyProtection="1">
      <protection hidden="1"/>
    </xf>
    <xf numFmtId="10" fontId="32" fillId="0" borderId="36" xfId="0" applyNumberFormat="1" applyFont="1" applyBorder="1" applyAlignment="1" applyProtection="1">
      <alignment horizontal="center"/>
      <protection hidden="1"/>
    </xf>
    <xf numFmtId="0" fontId="32" fillId="0" borderId="0" xfId="0" applyFont="1" applyFill="1" applyBorder="1" applyProtection="1">
      <protection hidden="1"/>
    </xf>
    <xf numFmtId="0" fontId="31" fillId="0" borderId="42" xfId="0" applyNumberFormat="1" applyFont="1" applyFill="1" applyBorder="1" applyAlignment="1" applyProtection="1">
      <alignment horizontal="center" vertical="center"/>
      <protection hidden="1"/>
    </xf>
    <xf numFmtId="0" fontId="31" fillId="0" borderId="1" xfId="0" applyNumberFormat="1" applyFont="1" applyFill="1" applyBorder="1" applyAlignment="1" applyProtection="1">
      <alignment horizontal="center" vertical="center"/>
      <protection hidden="1"/>
    </xf>
    <xf numFmtId="168" fontId="31" fillId="0" borderId="1" xfId="0" applyNumberFormat="1" applyFont="1" applyFill="1" applyBorder="1" applyAlignment="1" applyProtection="1">
      <alignment horizontal="center" vertical="center"/>
      <protection hidden="1"/>
    </xf>
    <xf numFmtId="0" fontId="3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3" xfId="0" applyNumberFormat="1" applyFont="1" applyFill="1" applyBorder="1" applyAlignment="1" applyProtection="1">
      <alignment horizontal="center" vertical="center"/>
      <protection hidden="1"/>
    </xf>
    <xf numFmtId="0" fontId="32" fillId="20" borderId="0" xfId="0" applyFont="1" applyFill="1" applyBorder="1" applyAlignment="1" applyProtection="1">
      <alignment horizontal="center" vertical="center"/>
      <protection hidden="1"/>
    </xf>
    <xf numFmtId="10" fontId="32" fillId="20" borderId="36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Protection="1">
      <protection hidden="1"/>
    </xf>
    <xf numFmtId="0" fontId="32" fillId="0" borderId="7" xfId="0" applyNumberFormat="1" applyFont="1" applyFill="1" applyBorder="1" applyProtection="1">
      <protection hidden="1"/>
    </xf>
    <xf numFmtId="0" fontId="32" fillId="0" borderId="8" xfId="0" applyNumberFormat="1" applyFont="1" applyFill="1" applyBorder="1" applyProtection="1">
      <protection hidden="1"/>
    </xf>
    <xf numFmtId="0" fontId="32" fillId="0" borderId="12" xfId="0" applyNumberFormat="1" applyFont="1" applyFill="1" applyBorder="1" applyProtection="1">
      <protection hidden="1"/>
    </xf>
    <xf numFmtId="0" fontId="31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7" xfId="0" applyNumberFormat="1" applyFont="1" applyFill="1" applyBorder="1" applyAlignment="1" applyProtection="1">
      <alignment horizontal="center"/>
      <protection hidden="1"/>
    </xf>
    <xf numFmtId="0" fontId="31" fillId="0" borderId="8" xfId="0" applyNumberFormat="1" applyFont="1" applyFill="1" applyBorder="1" applyAlignment="1" applyProtection="1">
      <alignment horizontal="center"/>
      <protection hidden="1"/>
    </xf>
    <xf numFmtId="0" fontId="3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0" applyNumberFormat="1" applyFont="1" applyFill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protection hidden="1"/>
    </xf>
    <xf numFmtId="0" fontId="32" fillId="0" borderId="15" xfId="0" applyFont="1" applyBorder="1" applyAlignment="1" applyProtection="1">
      <protection hidden="1"/>
    </xf>
    <xf numFmtId="0" fontId="32" fillId="0" borderId="10" xfId="0" applyFont="1" applyBorder="1" applyAlignment="1" applyProtection="1"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0" fontId="32" fillId="0" borderId="4" xfId="0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Fill="1" applyBorder="1" applyAlignment="1" applyProtection="1">
      <alignment horizontal="center" vertical="center"/>
      <protection hidden="1"/>
    </xf>
    <xf numFmtId="168" fontId="32" fillId="0" borderId="5" xfId="0" applyNumberFormat="1" applyFont="1" applyFill="1" applyBorder="1" applyAlignment="1" applyProtection="1">
      <alignment horizontal="center" vertical="center"/>
      <protection hidden="1"/>
    </xf>
    <xf numFmtId="164" fontId="32" fillId="0" borderId="5" xfId="0" applyNumberFormat="1" applyFont="1" applyFill="1" applyBorder="1" applyAlignment="1" applyProtection="1">
      <alignment horizontal="center" vertical="center"/>
      <protection hidden="1"/>
    </xf>
    <xf numFmtId="166" fontId="32" fillId="0" borderId="5" xfId="0" applyNumberFormat="1" applyFont="1" applyFill="1" applyBorder="1" applyAlignment="1" applyProtection="1">
      <alignment horizontal="center" vertical="center"/>
      <protection hidden="1"/>
    </xf>
    <xf numFmtId="169" fontId="32" fillId="0" borderId="58" xfId="0" applyNumberFormat="1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horizontal="center" vertical="center"/>
      <protection hidden="1"/>
    </xf>
    <xf numFmtId="0" fontId="32" fillId="0" borderId="42" xfId="0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Fill="1" applyBorder="1" applyAlignment="1" applyProtection="1">
      <alignment horizontal="center" vertical="center"/>
      <protection hidden="1"/>
    </xf>
    <xf numFmtId="168" fontId="32" fillId="0" borderId="1" xfId="0" applyNumberFormat="1" applyFont="1" applyFill="1" applyBorder="1" applyAlignment="1" applyProtection="1">
      <alignment horizontal="center" vertical="center"/>
      <protection hidden="1"/>
    </xf>
    <xf numFmtId="165" fontId="32" fillId="0" borderId="1" xfId="0" applyNumberFormat="1" applyFont="1" applyFill="1" applyBorder="1" applyAlignment="1" applyProtection="1">
      <alignment horizontal="center" vertical="center"/>
      <protection hidden="1"/>
    </xf>
    <xf numFmtId="2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2" xfId="0" applyFont="1" applyFill="1" applyBorder="1" applyAlignment="1" applyProtection="1">
      <alignment horizontal="center" vertical="center"/>
      <protection hidden="1"/>
    </xf>
    <xf numFmtId="0" fontId="32" fillId="0" borderId="45" xfId="0" applyFont="1" applyFill="1" applyBorder="1" applyAlignment="1" applyProtection="1">
      <alignment horizontal="center" vertical="center"/>
      <protection hidden="1"/>
    </xf>
    <xf numFmtId="169" fontId="32" fillId="0" borderId="1" xfId="0" applyNumberFormat="1" applyFont="1" applyFill="1" applyBorder="1" applyAlignment="1" applyProtection="1">
      <alignment horizontal="center" vertical="center"/>
      <protection hidden="1"/>
    </xf>
    <xf numFmtId="171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46" xfId="0" applyFont="1" applyFill="1" applyBorder="1" applyAlignment="1" applyProtection="1">
      <alignment horizontal="center" vertical="center" wrapText="1"/>
      <protection hidden="1"/>
    </xf>
    <xf numFmtId="0" fontId="32" fillId="0" borderId="33" xfId="0" applyFont="1" applyFill="1" applyBorder="1" applyAlignment="1" applyProtection="1">
      <alignment horizontal="center" vertical="center"/>
      <protection hidden="1"/>
    </xf>
    <xf numFmtId="168" fontId="32" fillId="0" borderId="33" xfId="0" applyNumberFormat="1" applyFont="1" applyFill="1" applyBorder="1" applyAlignment="1" applyProtection="1">
      <alignment horizontal="center" vertical="center"/>
      <protection hidden="1"/>
    </xf>
    <xf numFmtId="169" fontId="32" fillId="0" borderId="33" xfId="0" applyNumberFormat="1" applyFont="1" applyFill="1" applyBorder="1" applyAlignment="1" applyProtection="1">
      <alignment horizontal="center" vertical="center"/>
      <protection hidden="1"/>
    </xf>
    <xf numFmtId="0" fontId="32" fillId="0" borderId="26" xfId="0" applyFont="1" applyFill="1" applyBorder="1" applyAlignment="1" applyProtection="1">
      <alignment horizontal="center" vertical="center"/>
      <protection hidden="1"/>
    </xf>
    <xf numFmtId="0" fontId="32" fillId="0" borderId="5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169" fontId="32" fillId="0" borderId="5" xfId="0" applyNumberFormat="1" applyFont="1" applyFill="1" applyBorder="1" applyAlignment="1" applyProtection="1">
      <alignment horizontal="center" vertical="center"/>
      <protection hidden="1"/>
    </xf>
    <xf numFmtId="0" fontId="32" fillId="0" borderId="43" xfId="0" applyFont="1" applyFill="1" applyBorder="1" applyAlignment="1" applyProtection="1">
      <alignment horizontal="center" vertical="center"/>
      <protection hidden="1"/>
    </xf>
    <xf numFmtId="0" fontId="32" fillId="0" borderId="7" xfId="0" applyFont="1" applyFill="1" applyBorder="1" applyAlignment="1" applyProtection="1">
      <alignment horizontal="center" vertical="center" wrapText="1"/>
      <protection hidden="1"/>
    </xf>
    <xf numFmtId="0" fontId="32" fillId="0" borderId="8" xfId="0" applyFont="1" applyFill="1" applyBorder="1" applyAlignment="1" applyProtection="1">
      <alignment horizontal="center" vertical="center"/>
      <protection hidden="1"/>
    </xf>
    <xf numFmtId="168" fontId="32" fillId="0" borderId="8" xfId="0" applyNumberFormat="1" applyFont="1" applyFill="1" applyBorder="1" applyAlignment="1" applyProtection="1">
      <alignment horizontal="center" vertical="center"/>
      <protection hidden="1"/>
    </xf>
    <xf numFmtId="169" fontId="32" fillId="0" borderId="8" xfId="0" applyNumberFormat="1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Alignment="1" applyProtection="1">
      <alignment horizontal="center" vertical="center"/>
      <protection hidden="1"/>
    </xf>
    <xf numFmtId="0" fontId="32" fillId="0" borderId="54" xfId="0" applyFont="1" applyFill="1" applyBorder="1" applyAlignment="1" applyProtection="1">
      <alignment horizontal="center" vertical="center"/>
      <protection hidden="1"/>
    </xf>
    <xf numFmtId="0" fontId="32" fillId="0" borderId="27" xfId="0" applyFont="1" applyFill="1" applyBorder="1" applyAlignment="1" applyProtection="1">
      <alignment horizontal="center" vertical="center"/>
      <protection hidden="1"/>
    </xf>
    <xf numFmtId="169" fontId="32" fillId="0" borderId="31" xfId="0" applyNumberFormat="1" applyFont="1" applyFill="1" applyBorder="1" applyAlignment="1" applyProtection="1">
      <alignment horizontal="center" vertical="center"/>
      <protection hidden="1"/>
    </xf>
    <xf numFmtId="0" fontId="32" fillId="2" borderId="1" xfId="0" applyFont="1" applyFill="1" applyBorder="1" applyAlignment="1" applyProtection="1">
      <alignment horizontal="center" vertical="center"/>
      <protection hidden="1"/>
    </xf>
    <xf numFmtId="166" fontId="32" fillId="0" borderId="1" xfId="0" applyNumberFormat="1" applyFont="1" applyFill="1" applyBorder="1" applyAlignment="1" applyProtection="1">
      <alignment horizontal="center" vertical="center"/>
      <protection hidden="1"/>
    </xf>
    <xf numFmtId="164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Protection="1">
      <protection hidden="1"/>
    </xf>
    <xf numFmtId="0" fontId="32" fillId="0" borderId="1" xfId="4" applyFont="1" applyFill="1" applyBorder="1" applyProtection="1">
      <alignment horizontal="center" vertical="center"/>
      <protection hidden="1"/>
    </xf>
    <xf numFmtId="0" fontId="32" fillId="0" borderId="8" xfId="4" applyFont="1" applyFill="1" applyBorder="1" applyProtection="1">
      <alignment horizontal="center" vertical="center"/>
      <protection hidden="1"/>
    </xf>
    <xf numFmtId="0" fontId="32" fillId="0" borderId="8" xfId="0" applyFont="1" applyBorder="1" applyProtection="1">
      <protection hidden="1"/>
    </xf>
    <xf numFmtId="171" fontId="32" fillId="0" borderId="8" xfId="0" applyNumberFormat="1" applyFont="1" applyFill="1" applyBorder="1" applyAlignment="1" applyProtection="1">
      <alignment horizontal="center" vertical="center"/>
      <protection hidden="1"/>
    </xf>
    <xf numFmtId="0" fontId="32" fillId="0" borderId="44" xfId="0" applyFont="1" applyFill="1" applyBorder="1" applyAlignment="1" applyProtection="1">
      <alignment horizontal="center" vertical="center" wrapText="1"/>
      <protection hidden="1"/>
    </xf>
    <xf numFmtId="0" fontId="32" fillId="0" borderId="20" xfId="0" applyFont="1" applyFill="1" applyBorder="1" applyAlignment="1" applyProtection="1">
      <alignment horizontal="center" vertical="center"/>
      <protection hidden="1"/>
    </xf>
    <xf numFmtId="168" fontId="32" fillId="0" borderId="20" xfId="0" applyNumberFormat="1" applyFont="1" applyFill="1" applyBorder="1" applyAlignment="1" applyProtection="1">
      <alignment horizontal="center" vertical="center"/>
      <protection hidden="1"/>
    </xf>
    <xf numFmtId="0" fontId="32" fillId="0" borderId="20" xfId="4" applyFont="1" applyFill="1" applyBorder="1" applyProtection="1">
      <alignment horizontal="center" vertical="center"/>
      <protection hidden="1"/>
    </xf>
    <xf numFmtId="0" fontId="32" fillId="0" borderId="20" xfId="0" applyFont="1" applyBorder="1" applyProtection="1">
      <protection hidden="1"/>
    </xf>
    <xf numFmtId="165" fontId="32" fillId="0" borderId="20" xfId="0" applyNumberFormat="1" applyFont="1" applyFill="1" applyBorder="1" applyAlignment="1" applyProtection="1">
      <alignment horizontal="center" vertical="center"/>
      <protection hidden="1"/>
    </xf>
    <xf numFmtId="169" fontId="32" fillId="0" borderId="17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2" fillId="0" borderId="33" xfId="4" applyFont="1" applyFill="1" applyBorder="1" applyProtection="1">
      <alignment horizontal="center" vertical="center"/>
      <protection hidden="1"/>
    </xf>
    <xf numFmtId="169" fontId="32" fillId="0" borderId="27" xfId="0" applyNumberFormat="1" applyFont="1" applyFill="1" applyBorder="1" applyAlignment="1" applyProtection="1">
      <alignment horizontal="center" vertical="center"/>
      <protection hidden="1"/>
    </xf>
    <xf numFmtId="171" fontId="32" fillId="0" borderId="33" xfId="0" applyNumberFormat="1" applyFont="1" applyFill="1" applyBorder="1" applyAlignment="1" applyProtection="1">
      <alignment horizontal="center" vertical="center"/>
      <protection hidden="1"/>
    </xf>
    <xf numFmtId="0" fontId="31" fillId="0" borderId="36" xfId="0" applyFont="1" applyFill="1" applyBorder="1" applyAlignment="1" applyProtection="1">
      <alignment horizontal="center" vertical="center"/>
      <protection hidden="1"/>
    </xf>
    <xf numFmtId="0" fontId="32" fillId="0" borderId="5" xfId="4" applyFont="1" applyFill="1" applyBorder="1" applyProtection="1">
      <alignment horizontal="center" vertical="center"/>
      <protection hidden="1"/>
    </xf>
    <xf numFmtId="164" fontId="32" fillId="0" borderId="50" xfId="0" applyNumberFormat="1" applyFont="1" applyFill="1" applyBorder="1" applyAlignment="1" applyProtection="1">
      <alignment horizontal="center" vertical="center"/>
      <protection hidden="1"/>
    </xf>
    <xf numFmtId="169" fontId="32" fillId="0" borderId="56" xfId="0" applyNumberFormat="1" applyFont="1" applyFill="1" applyBorder="1" applyAlignment="1" applyProtection="1">
      <alignment horizontal="center" vertical="center"/>
      <protection hidden="1"/>
    </xf>
    <xf numFmtId="0" fontId="32" fillId="0" borderId="51" xfId="0" applyFont="1" applyFill="1" applyBorder="1" applyAlignment="1" applyProtection="1">
      <alignment horizontal="center" vertical="center"/>
      <protection hidden="1"/>
    </xf>
    <xf numFmtId="164" fontId="32" fillId="0" borderId="20" xfId="0" applyNumberFormat="1" applyFont="1" applyFill="1" applyBorder="1" applyAlignment="1" applyProtection="1">
      <alignment horizontal="center" vertical="center"/>
      <protection hidden="1"/>
    </xf>
    <xf numFmtId="0" fontId="32" fillId="0" borderId="17" xfId="0" applyFont="1" applyFill="1" applyBorder="1" applyAlignment="1" applyProtection="1">
      <alignment horizontal="center" vertical="center"/>
      <protection hidden="1"/>
    </xf>
    <xf numFmtId="169" fontId="32" fillId="0" borderId="2" xfId="0" applyNumberFormat="1" applyFont="1" applyFill="1" applyBorder="1" applyAlignment="1" applyProtection="1">
      <alignment horizontal="center" vertical="center"/>
      <protection hidden="1"/>
    </xf>
    <xf numFmtId="0" fontId="32" fillId="0" borderId="38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 textRotation="90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Protection="1">
      <protection hidden="1"/>
    </xf>
    <xf numFmtId="0" fontId="33" fillId="0" borderId="32" xfId="0" applyFont="1" applyBorder="1" applyAlignment="1" applyProtection="1">
      <alignment vertical="center" textRotation="90"/>
      <protection hidden="1"/>
    </xf>
    <xf numFmtId="0" fontId="32" fillId="0" borderId="32" xfId="0" applyFont="1" applyBorder="1" applyAlignment="1" applyProtection="1">
      <protection hidden="1"/>
    </xf>
    <xf numFmtId="0" fontId="32" fillId="0" borderId="32" xfId="0" applyFont="1" applyBorder="1" applyProtection="1">
      <protection hidden="1"/>
    </xf>
    <xf numFmtId="0" fontId="32" fillId="0" borderId="15" xfId="0" applyFont="1" applyBorder="1" applyProtection="1"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1" fillId="19" borderId="5" xfId="0" applyFont="1" applyFill="1" applyBorder="1" applyAlignment="1" applyProtection="1">
      <alignment horizontal="center"/>
      <protection hidden="1"/>
    </xf>
    <xf numFmtId="0" fontId="31" fillId="19" borderId="5" xfId="0" applyFont="1" applyFill="1" applyBorder="1" applyAlignment="1" applyProtection="1">
      <alignment horizontal="center" vertical="center"/>
      <protection hidden="1"/>
    </xf>
    <xf numFmtId="171" fontId="31" fillId="19" borderId="5" xfId="0" applyNumberFormat="1" applyFont="1" applyFill="1" applyBorder="1" applyAlignment="1" applyProtection="1">
      <alignment horizontal="center" vertical="center"/>
      <protection hidden="1"/>
    </xf>
    <xf numFmtId="3" fontId="31" fillId="18" borderId="44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31" fillId="19" borderId="1" xfId="0" applyFont="1" applyFill="1" applyBorder="1" applyAlignment="1" applyProtection="1">
      <alignment horizontal="center" vertical="center"/>
      <protection hidden="1"/>
    </xf>
    <xf numFmtId="0" fontId="31" fillId="19" borderId="20" xfId="0" applyFont="1" applyFill="1" applyBorder="1" applyAlignment="1" applyProtection="1">
      <alignment horizontal="center" vertical="center"/>
      <protection hidden="1"/>
    </xf>
    <xf numFmtId="171" fontId="31" fillId="19" borderId="20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71" fontId="31" fillId="19" borderId="1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31" fillId="19" borderId="1" xfId="0" applyFont="1" applyFill="1" applyBorder="1" applyAlignment="1" applyProtection="1">
      <alignment horizontal="center"/>
      <protection hidden="1"/>
    </xf>
    <xf numFmtId="171" fontId="31" fillId="19" borderId="8" xfId="0" applyNumberFormat="1" applyFont="1" applyFill="1" applyBorder="1" applyAlignment="1" applyProtection="1">
      <alignment horizontal="center" vertical="center"/>
      <protection hidden="1"/>
    </xf>
    <xf numFmtId="0" fontId="31" fillId="19" borderId="8" xfId="0" applyFont="1" applyFill="1" applyBorder="1" applyAlignment="1" applyProtection="1">
      <alignment horizontal="center" vertical="center"/>
      <protection hidden="1"/>
    </xf>
    <xf numFmtId="0" fontId="33" fillId="0" borderId="41" xfId="0" applyFont="1" applyBorder="1" applyAlignment="1" applyProtection="1">
      <alignment horizontal="center" vertical="center"/>
      <protection hidden="1"/>
    </xf>
    <xf numFmtId="0" fontId="31" fillId="0" borderId="41" xfId="0" applyFont="1" applyFill="1" applyBorder="1" applyAlignment="1" applyProtection="1">
      <alignment horizontal="center" vertical="center"/>
      <protection hidden="1"/>
    </xf>
    <xf numFmtId="0" fontId="32" fillId="0" borderId="41" xfId="0" applyFont="1" applyFill="1" applyBorder="1" applyAlignment="1" applyProtection="1">
      <alignment horizontal="center" vertical="center"/>
      <protection hidden="1"/>
    </xf>
    <xf numFmtId="3" fontId="31" fillId="0" borderId="41" xfId="0" applyNumberFormat="1" applyFont="1" applyFill="1" applyBorder="1" applyAlignment="1" applyProtection="1">
      <alignment horizontal="center" vertical="center" wrapText="1"/>
      <protection hidden="1"/>
    </xf>
    <xf numFmtId="171" fontId="31" fillId="0" borderId="41" xfId="0" applyNumberFormat="1" applyFont="1" applyFill="1" applyBorder="1" applyAlignment="1" applyProtection="1">
      <alignment horizontal="center" vertical="center"/>
      <protection hidden="1"/>
    </xf>
    <xf numFmtId="168" fontId="31" fillId="0" borderId="41" xfId="0" applyNumberFormat="1" applyFont="1" applyFill="1" applyBorder="1" applyAlignment="1" applyProtection="1">
      <alignment horizontal="center" vertical="center"/>
      <protection hidden="1"/>
    </xf>
    <xf numFmtId="3" fontId="31" fillId="18" borderId="4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8" fontId="0" fillId="0" borderId="1" xfId="0" applyNumberFormat="1" applyBorder="1" applyAlignment="1" applyProtection="1">
      <alignment horizontal="center" vertical="center" wrapText="1"/>
      <protection hidden="1"/>
    </xf>
    <xf numFmtId="4" fontId="0" fillId="0" borderId="1" xfId="0" applyNumberFormat="1" applyBorder="1" applyAlignment="1" applyProtection="1">
      <alignment horizontal="center" vertical="center" wrapText="1"/>
      <protection hidden="1"/>
    </xf>
    <xf numFmtId="178" fontId="31" fillId="19" borderId="1" xfId="0" applyNumberFormat="1" applyFont="1" applyFill="1" applyBorder="1" applyAlignment="1" applyProtection="1">
      <alignment horizontal="center" vertical="center" wrapText="1"/>
      <protection hidden="1"/>
    </xf>
    <xf numFmtId="171" fontId="31" fillId="19" borderId="1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178" fontId="31" fillId="19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3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31" fillId="0" borderId="0" xfId="0" applyNumberFormat="1" applyFont="1" applyFill="1" applyBorder="1" applyAlignment="1" applyProtection="1">
      <alignment horizontal="center" vertical="center"/>
      <protection hidden="1"/>
    </xf>
    <xf numFmtId="14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4" xfId="0" applyFont="1" applyBorder="1" applyProtection="1">
      <protection hidden="1"/>
    </xf>
    <xf numFmtId="171" fontId="32" fillId="0" borderId="1" xfId="0" applyNumberFormat="1" applyFont="1" applyBorder="1" applyAlignment="1" applyProtection="1">
      <alignment horizontal="center" vertical="center" wrapText="1"/>
      <protection hidden="1"/>
    </xf>
    <xf numFmtId="2" fontId="31" fillId="19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24" xfId="0" applyFont="1" applyBorder="1" applyProtection="1">
      <protection hidden="1"/>
    </xf>
    <xf numFmtId="0" fontId="31" fillId="6" borderId="4" xfId="0" applyFont="1" applyFill="1" applyBorder="1" applyAlignment="1" applyProtection="1">
      <alignment horizontal="center" vertical="center"/>
      <protection hidden="1"/>
    </xf>
    <xf numFmtId="175" fontId="31" fillId="0" borderId="42" xfId="0" applyNumberFormat="1" applyFont="1" applyFill="1" applyBorder="1" applyAlignment="1" applyProtection="1">
      <alignment horizontal="center" vertical="center"/>
      <protection hidden="1"/>
    </xf>
    <xf numFmtId="0" fontId="31" fillId="0" borderId="5" xfId="0" applyFont="1" applyFill="1" applyBorder="1" applyAlignment="1" applyProtection="1">
      <alignment horizontal="center" vertical="center"/>
      <protection hidden="1"/>
    </xf>
    <xf numFmtId="175" fontId="31" fillId="2" borderId="5" xfId="0" applyNumberFormat="1" applyFont="1" applyFill="1" applyBorder="1" applyAlignment="1" applyProtection="1">
      <alignment horizontal="center" vertical="center"/>
      <protection hidden="1"/>
    </xf>
    <xf numFmtId="0" fontId="31" fillId="6" borderId="7" xfId="0" applyFont="1" applyFill="1" applyBorder="1" applyAlignment="1" applyProtection="1">
      <alignment vertical="center"/>
      <protection hidden="1"/>
    </xf>
    <xf numFmtId="0" fontId="17" fillId="6" borderId="56" xfId="0" applyFont="1" applyFill="1" applyBorder="1" applyAlignment="1" applyProtection="1">
      <alignment vertical="center"/>
      <protection hidden="1"/>
    </xf>
    <xf numFmtId="0" fontId="17" fillId="6" borderId="41" xfId="0" applyFont="1" applyFill="1" applyBorder="1" applyAlignment="1" applyProtection="1">
      <alignment vertical="center"/>
      <protection hidden="1"/>
    </xf>
    <xf numFmtId="0" fontId="17" fillId="6" borderId="6" xfId="0" applyFont="1" applyFill="1" applyBorder="1" applyAlignment="1" applyProtection="1">
      <alignment vertical="center"/>
      <protection hidden="1"/>
    </xf>
    <xf numFmtId="0" fontId="31" fillId="0" borderId="1" xfId="0" applyFont="1" applyFill="1" applyBorder="1" applyAlignment="1" applyProtection="1">
      <alignment horizontal="center" vertical="center"/>
      <protection hidden="1"/>
    </xf>
    <xf numFmtId="0" fontId="31" fillId="0" borderId="43" xfId="0" applyFont="1" applyFill="1" applyBorder="1" applyAlignment="1" applyProtection="1">
      <alignment horizontal="center" vertical="center"/>
      <protection hidden="1"/>
    </xf>
    <xf numFmtId="0" fontId="31" fillId="0" borderId="42" xfId="0" applyFont="1" applyFill="1" applyBorder="1" applyAlignment="1" applyProtection="1">
      <alignment horizontal="center" vertical="center"/>
      <protection hidden="1"/>
    </xf>
    <xf numFmtId="2" fontId="31" fillId="0" borderId="1" xfId="0" applyNumberFormat="1" applyFont="1" applyFill="1" applyBorder="1" applyAlignment="1" applyProtection="1">
      <alignment vertical="center"/>
      <protection hidden="1"/>
    </xf>
    <xf numFmtId="0" fontId="31" fillId="0" borderId="1" xfId="0" applyFont="1" applyFill="1" applyBorder="1" applyAlignment="1" applyProtection="1">
      <alignment vertical="center"/>
      <protection hidden="1"/>
    </xf>
    <xf numFmtId="0" fontId="31" fillId="0" borderId="43" xfId="0" applyFont="1" applyFill="1" applyBorder="1" applyAlignment="1" applyProtection="1">
      <alignment vertical="center"/>
      <protection hidden="1"/>
    </xf>
    <xf numFmtId="171" fontId="31" fillId="0" borderId="1" xfId="0" applyNumberFormat="1" applyFont="1" applyFill="1" applyBorder="1" applyAlignment="1" applyProtection="1">
      <alignment horizontal="center" vertical="center"/>
      <protection hidden="1"/>
    </xf>
    <xf numFmtId="171" fontId="31" fillId="0" borderId="1" xfId="0" applyNumberFormat="1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1" fillId="0" borderId="7" xfId="0" applyFont="1" applyFill="1" applyBorder="1" applyAlignment="1" applyProtection="1">
      <alignment horizontal="center" vertical="center"/>
      <protection hidden="1"/>
    </xf>
    <xf numFmtId="2" fontId="31" fillId="0" borderId="38" xfId="0" applyNumberFormat="1" applyFont="1" applyFill="1" applyBorder="1" applyAlignment="1" applyProtection="1">
      <alignment vertical="center"/>
      <protection hidden="1"/>
    </xf>
    <xf numFmtId="0" fontId="31" fillId="0" borderId="13" xfId="0" applyFont="1" applyFill="1" applyBorder="1" applyAlignment="1" applyProtection="1">
      <alignment vertical="center"/>
      <protection hidden="1"/>
    </xf>
    <xf numFmtId="0" fontId="31" fillId="0" borderId="8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>
      <protection hidden="1"/>
    </xf>
    <xf numFmtId="175" fontId="31" fillId="0" borderId="7" xfId="0" applyNumberFormat="1" applyFont="1" applyFill="1" applyBorder="1" applyAlignment="1" applyProtection="1">
      <alignment horizontal="center" vertical="center"/>
      <protection hidden="1"/>
    </xf>
    <xf numFmtId="0" fontId="31" fillId="0" borderId="8" xfId="0" applyFont="1" applyBorder="1" applyAlignment="1" applyProtection="1">
      <alignment horizontal="center" vertical="center"/>
      <protection hidden="1"/>
    </xf>
    <xf numFmtId="171" fontId="31" fillId="0" borderId="8" xfId="0" applyNumberFormat="1" applyFont="1" applyBorder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32" fillId="0" borderId="22" xfId="0" applyFont="1" applyBorder="1" applyAlignment="1" applyProtection="1">
      <protection hidden="1"/>
    </xf>
    <xf numFmtId="0" fontId="32" fillId="0" borderId="52" xfId="0" applyFont="1" applyBorder="1" applyAlignment="1" applyProtection="1">
      <protection hidden="1"/>
    </xf>
    <xf numFmtId="0" fontId="32" fillId="0" borderId="6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2" fontId="8" fillId="6" borderId="20" xfId="0" applyNumberFormat="1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Protection="1">
      <protection hidden="1"/>
    </xf>
    <xf numFmtId="0" fontId="31" fillId="0" borderId="44" xfId="0" applyNumberFormat="1" applyFont="1" applyBorder="1" applyAlignment="1" applyProtection="1">
      <protection hidden="1"/>
    </xf>
    <xf numFmtId="0" fontId="31" fillId="0" borderId="20" xfId="0" applyNumberFormat="1" applyFont="1" applyBorder="1" applyAlignment="1" applyProtection="1">
      <protection hidden="1"/>
    </xf>
    <xf numFmtId="0" fontId="32" fillId="0" borderId="45" xfId="0" applyFont="1" applyBorder="1" applyProtection="1">
      <protection hidden="1"/>
    </xf>
    <xf numFmtId="0" fontId="32" fillId="0" borderId="7" xfId="0" applyFont="1" applyBorder="1" applyProtection="1">
      <protection hidden="1"/>
    </xf>
    <xf numFmtId="0" fontId="32" fillId="0" borderId="12" xfId="0" applyFont="1" applyBorder="1" applyProtection="1">
      <protection hidden="1"/>
    </xf>
    <xf numFmtId="0" fontId="32" fillId="0" borderId="44" xfId="0" applyFont="1" applyBorder="1" applyProtection="1">
      <protection hidden="1"/>
    </xf>
    <xf numFmtId="1" fontId="7" fillId="14" borderId="36" xfId="3" applyNumberFormat="1" applyFont="1" applyBorder="1" applyAlignment="1" applyProtection="1">
      <alignment horizontal="center" vertical="center"/>
      <protection locked="0" hidden="1"/>
    </xf>
    <xf numFmtId="1" fontId="7" fillId="14" borderId="16" xfId="3" applyNumberFormat="1" applyFont="1" applyBorder="1" applyAlignment="1" applyProtection="1">
      <alignment horizontal="center" vertical="center" wrapText="1"/>
      <protection locked="0" hidden="1"/>
    </xf>
    <xf numFmtId="1" fontId="8" fillId="14" borderId="36" xfId="3" applyNumberFormat="1" applyFont="1" applyBorder="1" applyAlignment="1" applyProtection="1">
      <alignment horizontal="center" vertical="center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4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36" xfId="0" applyNumberFormat="1" applyFont="1" applyFill="1" applyBorder="1" applyAlignment="1" applyProtection="1">
      <alignment horizontal="center" vertical="center" wrapText="1"/>
      <protection locked="0" hidden="1"/>
    </xf>
    <xf numFmtId="3" fontId="31" fillId="22" borderId="44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20" xfId="0" applyNumberFormat="1" applyFont="1" applyFill="1" applyBorder="1" applyAlignment="1" applyProtection="1">
      <alignment horizontal="center" vertical="center"/>
      <protection hidden="1"/>
    </xf>
    <xf numFmtId="0" fontId="31" fillId="16" borderId="5" xfId="0" applyFont="1" applyFill="1" applyBorder="1" applyAlignment="1" applyProtection="1">
      <alignment horizontal="center" vertical="center"/>
      <protection hidden="1"/>
    </xf>
    <xf numFmtId="171" fontId="31" fillId="16" borderId="5" xfId="0" applyNumberFormat="1" applyFont="1" applyFill="1" applyBorder="1" applyAlignment="1" applyProtection="1">
      <alignment horizontal="center" vertical="center"/>
      <protection hidden="1"/>
    </xf>
    <xf numFmtId="0" fontId="31" fillId="16" borderId="1" xfId="0" applyFont="1" applyFill="1" applyBorder="1" applyAlignment="1" applyProtection="1">
      <alignment horizontal="center" vertical="center"/>
      <protection hidden="1"/>
    </xf>
    <xf numFmtId="171" fontId="31" fillId="16" borderId="20" xfId="0" applyNumberFormat="1" applyFont="1" applyFill="1" applyBorder="1" applyAlignment="1" applyProtection="1">
      <alignment horizontal="center" vertical="center"/>
      <protection hidden="1"/>
    </xf>
    <xf numFmtId="171" fontId="31" fillId="16" borderId="1" xfId="0" applyNumberFormat="1" applyFont="1" applyFill="1" applyBorder="1" applyAlignment="1" applyProtection="1">
      <alignment horizontal="center" vertical="center"/>
      <protection hidden="1"/>
    </xf>
    <xf numFmtId="0" fontId="31" fillId="16" borderId="4" xfId="0" applyFont="1" applyFill="1" applyBorder="1" applyAlignment="1" applyProtection="1">
      <alignment horizontal="center" vertical="center"/>
      <protection hidden="1"/>
    </xf>
    <xf numFmtId="0" fontId="31" fillId="16" borderId="42" xfId="0" applyFont="1" applyFill="1" applyBorder="1" applyAlignment="1" applyProtection="1">
      <alignment horizontal="center" vertical="center"/>
      <protection hidden="1"/>
    </xf>
    <xf numFmtId="171" fontId="31" fillId="16" borderId="42" xfId="0" applyNumberFormat="1" applyFont="1" applyFill="1" applyBorder="1" applyAlignment="1" applyProtection="1">
      <alignment horizontal="center" vertical="center"/>
      <protection hidden="1"/>
    </xf>
    <xf numFmtId="171" fontId="31" fillId="16" borderId="7" xfId="0" applyNumberFormat="1" applyFont="1" applyFill="1" applyBorder="1" applyAlignment="1" applyProtection="1">
      <alignment horizontal="center" vertical="center"/>
      <protection hidden="1"/>
    </xf>
    <xf numFmtId="0" fontId="31" fillId="16" borderId="8" xfId="0" applyFont="1" applyFill="1" applyBorder="1" applyAlignment="1" applyProtection="1">
      <alignment horizontal="center" vertical="center"/>
      <protection hidden="1"/>
    </xf>
    <xf numFmtId="0" fontId="32" fillId="16" borderId="1" xfId="0" applyFont="1" applyFill="1" applyBorder="1" applyAlignment="1" applyProtection="1">
      <alignment horizontal="center" vertical="center" wrapText="1"/>
      <protection hidden="1"/>
    </xf>
    <xf numFmtId="171" fontId="31" fillId="16" borderId="4" xfId="0" applyNumberFormat="1" applyFont="1" applyFill="1" applyBorder="1" applyAlignment="1" applyProtection="1">
      <alignment horizontal="center" vertical="center"/>
      <protection hidden="1"/>
    </xf>
    <xf numFmtId="178" fontId="31" fillId="16" borderId="1" xfId="0" applyNumberFormat="1" applyFont="1" applyFill="1" applyBorder="1" applyAlignment="1" applyProtection="1">
      <alignment horizontal="center" vertical="center" wrapText="1"/>
      <protection hidden="1"/>
    </xf>
    <xf numFmtId="4" fontId="31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7" xfId="0" applyFont="1" applyFill="1" applyBorder="1" applyAlignment="1" applyProtection="1">
      <alignment horizontal="center" vertical="center"/>
      <protection hidden="1"/>
    </xf>
    <xf numFmtId="178" fontId="31" fillId="16" borderId="8" xfId="0" applyNumberFormat="1" applyFont="1" applyFill="1" applyBorder="1" applyAlignment="1" applyProtection="1">
      <alignment horizontal="center" vertical="center" wrapText="1"/>
      <protection hidden="1"/>
    </xf>
    <xf numFmtId="178" fontId="0" fillId="16" borderId="1" xfId="0" applyNumberFormat="1" applyFill="1" applyBorder="1" applyAlignment="1" applyProtection="1">
      <alignment horizontal="center" vertical="center" wrapText="1"/>
      <protection hidden="1"/>
    </xf>
    <xf numFmtId="4" fontId="0" fillId="16" borderId="1" xfId="0" applyNumberFormat="1" applyFill="1" applyBorder="1" applyAlignment="1" applyProtection="1">
      <alignment horizontal="center" vertical="center" wrapText="1"/>
      <protection hidden="1"/>
    </xf>
    <xf numFmtId="171" fontId="31" fillId="16" borderId="8" xfId="0" applyNumberFormat="1" applyFont="1" applyFill="1" applyBorder="1" applyAlignment="1" applyProtection="1">
      <alignment horizontal="center" vertical="center"/>
      <protection hidden="1"/>
    </xf>
    <xf numFmtId="2" fontId="31" fillId="16" borderId="1" xfId="0" applyNumberFormat="1" applyFont="1" applyFill="1" applyBorder="1" applyAlignment="1" applyProtection="1">
      <alignment horizontal="center" vertical="center"/>
      <protection hidden="1"/>
    </xf>
    <xf numFmtId="171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" xfId="0" applyFont="1" applyBorder="1" applyProtection="1">
      <protection hidden="1"/>
    </xf>
    <xf numFmtId="3" fontId="32" fillId="16" borderId="42" xfId="0" applyNumberFormat="1" applyFont="1" applyFill="1" applyBorder="1" applyAlignment="1" applyProtection="1">
      <alignment horizontal="center" vertical="center"/>
      <protection hidden="1"/>
    </xf>
    <xf numFmtId="0" fontId="32" fillId="16" borderId="1" xfId="0" applyFont="1" applyFill="1" applyBorder="1" applyAlignment="1" applyProtection="1">
      <alignment horizontal="center" vertical="center"/>
      <protection hidden="1"/>
    </xf>
    <xf numFmtId="3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168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169" fontId="32" fillId="16" borderId="1" xfId="0" applyNumberFormat="1" applyFont="1" applyFill="1" applyBorder="1" applyAlignment="1" applyProtection="1">
      <alignment horizontal="center" vertical="center"/>
      <protection hidden="1"/>
    </xf>
    <xf numFmtId="171" fontId="32" fillId="16" borderId="1" xfId="0" applyNumberFormat="1" applyFont="1" applyFill="1" applyBorder="1" applyAlignment="1" applyProtection="1">
      <alignment horizontal="center" vertical="center"/>
      <protection hidden="1"/>
    </xf>
    <xf numFmtId="2" fontId="32" fillId="16" borderId="1" xfId="0" applyNumberFormat="1" applyFont="1" applyFill="1" applyBorder="1" applyAlignment="1" applyProtection="1">
      <alignment horizontal="center" vertical="center"/>
      <protection hidden="1"/>
    </xf>
    <xf numFmtId="49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3" fontId="32" fillId="16" borderId="7" xfId="0" applyNumberFormat="1" applyFont="1" applyFill="1" applyBorder="1" applyAlignment="1" applyProtection="1">
      <alignment horizontal="center" vertical="center"/>
      <protection hidden="1"/>
    </xf>
    <xf numFmtId="3" fontId="32" fillId="16" borderId="8" xfId="0" applyNumberFormat="1" applyFont="1" applyFill="1" applyBorder="1" applyAlignment="1" applyProtection="1">
      <alignment horizontal="center" vertical="center"/>
      <protection hidden="1"/>
    </xf>
    <xf numFmtId="168" fontId="32" fillId="16" borderId="8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8" xfId="0" applyFont="1" applyFill="1" applyBorder="1" applyAlignment="1" applyProtection="1">
      <alignment horizontal="center" vertical="center" wrapText="1"/>
      <protection hidden="1"/>
    </xf>
    <xf numFmtId="0" fontId="32" fillId="16" borderId="8" xfId="0" applyFont="1" applyFill="1" applyBorder="1" applyAlignment="1" applyProtection="1">
      <alignment horizontal="center" vertical="center"/>
      <protection hidden="1"/>
    </xf>
    <xf numFmtId="169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4" xfId="0" applyFont="1" applyFill="1" applyBorder="1" applyAlignment="1" applyProtection="1">
      <alignment horizontal="center" vertical="center" wrapText="1"/>
      <protection hidden="1"/>
    </xf>
    <xf numFmtId="0" fontId="32" fillId="16" borderId="5" xfId="0" applyFont="1" applyFill="1" applyBorder="1" applyAlignment="1" applyProtection="1">
      <alignment horizontal="center" vertical="center"/>
      <protection hidden="1"/>
    </xf>
    <xf numFmtId="168" fontId="32" fillId="16" borderId="58" xfId="0" applyNumberFormat="1" applyFont="1" applyFill="1" applyBorder="1" applyAlignment="1" applyProtection="1">
      <alignment horizontal="center" vertical="center"/>
      <protection hidden="1"/>
    </xf>
    <xf numFmtId="0" fontId="32" fillId="16" borderId="62" xfId="0" applyFont="1" applyFill="1" applyBorder="1" applyAlignment="1" applyProtection="1">
      <alignment horizontal="center" vertical="center"/>
      <protection hidden="1"/>
    </xf>
    <xf numFmtId="0" fontId="32" fillId="16" borderId="71" xfId="0" applyFont="1" applyFill="1" applyBorder="1" applyAlignment="1" applyProtection="1">
      <alignment horizontal="center" vertical="center"/>
      <protection hidden="1"/>
    </xf>
    <xf numFmtId="0" fontId="32" fillId="16" borderId="67" xfId="0" applyFont="1" applyFill="1" applyBorder="1" applyAlignment="1" applyProtection="1">
      <alignment horizontal="center" vertical="center"/>
      <protection hidden="1"/>
    </xf>
    <xf numFmtId="2" fontId="32" fillId="16" borderId="65" xfId="0" applyNumberFormat="1" applyFont="1" applyFill="1" applyBorder="1" applyAlignment="1" applyProtection="1">
      <alignment horizontal="center" vertical="center"/>
      <protection hidden="1"/>
    </xf>
    <xf numFmtId="166" fontId="32" fillId="16" borderId="5" xfId="0" applyNumberFormat="1" applyFont="1" applyFill="1" applyBorder="1" applyAlignment="1" applyProtection="1">
      <alignment horizontal="center" vertical="center"/>
      <protection hidden="1"/>
    </xf>
    <xf numFmtId="2" fontId="32" fillId="16" borderId="5" xfId="0" applyNumberFormat="1" applyFont="1" applyFill="1" applyBorder="1" applyAlignment="1" applyProtection="1">
      <alignment horizontal="center" vertical="center"/>
      <protection hidden="1"/>
    </xf>
    <xf numFmtId="169" fontId="32" fillId="16" borderId="5" xfId="0" applyNumberFormat="1" applyFont="1" applyFill="1" applyBorder="1" applyAlignment="1" applyProtection="1">
      <alignment horizontal="center" vertical="center"/>
      <protection hidden="1"/>
    </xf>
    <xf numFmtId="0" fontId="32" fillId="16" borderId="40" xfId="0" applyFont="1" applyFill="1" applyBorder="1" applyAlignment="1" applyProtection="1">
      <alignment horizontal="center" vertical="center"/>
      <protection hidden="1"/>
    </xf>
    <xf numFmtId="0" fontId="32" fillId="16" borderId="42" xfId="0" applyFont="1" applyFill="1" applyBorder="1" applyAlignment="1" applyProtection="1">
      <alignment horizontal="center" vertical="center" wrapText="1"/>
      <protection hidden="1"/>
    </xf>
    <xf numFmtId="168" fontId="32" fillId="16" borderId="2" xfId="0" applyNumberFormat="1" applyFont="1" applyFill="1" applyBorder="1" applyAlignment="1" applyProtection="1">
      <alignment horizontal="center" vertical="center"/>
      <protection hidden="1"/>
    </xf>
    <xf numFmtId="0" fontId="32" fillId="16" borderId="63" xfId="0" applyFont="1" applyFill="1" applyBorder="1" applyAlignment="1" applyProtection="1">
      <alignment horizontal="center" vertical="center"/>
      <protection hidden="1"/>
    </xf>
    <xf numFmtId="0" fontId="32" fillId="16" borderId="72" xfId="0" applyFont="1" applyFill="1" applyBorder="1" applyAlignment="1" applyProtection="1">
      <alignment horizontal="center" vertical="center"/>
      <protection hidden="1"/>
    </xf>
    <xf numFmtId="0" fontId="32" fillId="16" borderId="68" xfId="0" applyFont="1" applyFill="1" applyBorder="1" applyAlignment="1" applyProtection="1">
      <alignment horizontal="center" vertical="center"/>
      <protection hidden="1"/>
    </xf>
    <xf numFmtId="0" fontId="32" fillId="16" borderId="3" xfId="0" applyFont="1" applyFill="1" applyBorder="1" applyAlignment="1" applyProtection="1">
      <alignment horizontal="center" vertical="center"/>
      <protection hidden="1"/>
    </xf>
    <xf numFmtId="165" fontId="32" fillId="16" borderId="1" xfId="0" applyNumberFormat="1" applyFont="1" applyFill="1" applyBorder="1" applyAlignment="1" applyProtection="1">
      <alignment horizontal="center" vertical="center"/>
      <protection hidden="1"/>
    </xf>
    <xf numFmtId="0" fontId="32" fillId="16" borderId="43" xfId="0" applyFont="1" applyFill="1" applyBorder="1" applyAlignment="1" applyProtection="1">
      <alignment horizontal="center" vertical="center"/>
      <protection hidden="1"/>
    </xf>
    <xf numFmtId="0" fontId="32" fillId="16" borderId="7" xfId="0" applyFont="1" applyFill="1" applyBorder="1" applyAlignment="1" applyProtection="1">
      <alignment horizontal="center" vertical="center" wrapText="1"/>
      <protection hidden="1"/>
    </xf>
    <xf numFmtId="168" fontId="32" fillId="16" borderId="38" xfId="0" applyNumberFormat="1" applyFont="1" applyFill="1" applyBorder="1" applyAlignment="1" applyProtection="1">
      <alignment horizontal="center" vertical="center"/>
      <protection hidden="1"/>
    </xf>
    <xf numFmtId="0" fontId="32" fillId="16" borderId="64" xfId="0" applyFont="1" applyFill="1" applyBorder="1" applyAlignment="1" applyProtection="1">
      <alignment horizontal="center" vertical="center"/>
      <protection hidden="1"/>
    </xf>
    <xf numFmtId="0" fontId="32" fillId="16" borderId="73" xfId="0" applyFont="1" applyFill="1" applyBorder="1" applyAlignment="1" applyProtection="1">
      <alignment horizontal="center" vertical="center"/>
      <protection hidden="1"/>
    </xf>
    <xf numFmtId="0" fontId="32" fillId="16" borderId="69" xfId="0" applyFont="1" applyFill="1" applyBorder="1" applyAlignment="1" applyProtection="1">
      <alignment horizontal="center" vertical="center"/>
      <protection hidden="1"/>
    </xf>
    <xf numFmtId="0" fontId="32" fillId="16" borderId="13" xfId="0" applyFont="1" applyFill="1" applyBorder="1" applyAlignment="1" applyProtection="1">
      <alignment horizontal="center" vertical="center"/>
      <protection hidden="1"/>
    </xf>
    <xf numFmtId="171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12" xfId="0" applyFont="1" applyFill="1" applyBorder="1" applyAlignment="1" applyProtection="1">
      <alignment horizontal="center" vertical="center"/>
      <protection hidden="1"/>
    </xf>
    <xf numFmtId="0" fontId="32" fillId="16" borderId="44" xfId="0" applyFont="1" applyFill="1" applyBorder="1" applyAlignment="1" applyProtection="1">
      <alignment horizontal="center" vertical="center" wrapText="1"/>
      <protection hidden="1"/>
    </xf>
    <xf numFmtId="0" fontId="32" fillId="16" borderId="20" xfId="0" applyFont="1" applyFill="1" applyBorder="1" applyAlignment="1" applyProtection="1">
      <alignment horizontal="center" vertical="center"/>
      <protection hidden="1"/>
    </xf>
    <xf numFmtId="168" fontId="32" fillId="16" borderId="17" xfId="0" applyNumberFormat="1" applyFont="1" applyFill="1" applyBorder="1" applyAlignment="1" applyProtection="1">
      <alignment horizontal="center" vertical="center"/>
      <protection hidden="1"/>
    </xf>
    <xf numFmtId="0" fontId="32" fillId="16" borderId="66" xfId="0" applyFont="1" applyFill="1" applyBorder="1" applyAlignment="1" applyProtection="1">
      <alignment horizontal="center" vertical="center"/>
      <protection hidden="1"/>
    </xf>
    <xf numFmtId="0" fontId="32" fillId="16" borderId="74" xfId="0" applyFont="1" applyFill="1" applyBorder="1" applyAlignment="1" applyProtection="1">
      <alignment horizontal="center" vertical="center"/>
      <protection hidden="1"/>
    </xf>
    <xf numFmtId="0" fontId="32" fillId="16" borderId="70" xfId="0" applyFont="1" applyFill="1" applyBorder="1" applyAlignment="1" applyProtection="1">
      <alignment horizontal="center" vertical="center"/>
      <protection hidden="1"/>
    </xf>
    <xf numFmtId="0" fontId="32" fillId="16" borderId="18" xfId="0" applyFont="1" applyFill="1" applyBorder="1" applyAlignment="1" applyProtection="1">
      <alignment horizontal="center" vertical="center"/>
      <protection hidden="1"/>
    </xf>
    <xf numFmtId="169" fontId="32" fillId="16" borderId="20" xfId="0" applyNumberFormat="1" applyFont="1" applyFill="1" applyBorder="1" applyAlignment="1" applyProtection="1">
      <alignment horizontal="center" vertical="center"/>
      <protection hidden="1"/>
    </xf>
    <xf numFmtId="0" fontId="32" fillId="16" borderId="45" xfId="0" applyFont="1" applyFill="1" applyBorder="1" applyAlignment="1" applyProtection="1">
      <alignment horizontal="center" vertical="center"/>
      <protection hidden="1"/>
    </xf>
    <xf numFmtId="0" fontId="32" fillId="16" borderId="46" xfId="0" applyFont="1" applyFill="1" applyBorder="1" applyAlignment="1" applyProtection="1">
      <alignment horizontal="center" vertical="center"/>
      <protection hidden="1"/>
    </xf>
    <xf numFmtId="0" fontId="32" fillId="16" borderId="33" xfId="0" applyFont="1" applyFill="1" applyBorder="1" applyAlignment="1" applyProtection="1">
      <alignment horizontal="center" vertical="center"/>
      <protection hidden="1"/>
    </xf>
    <xf numFmtId="0" fontId="32" fillId="16" borderId="26" xfId="0" applyFont="1" applyFill="1" applyBorder="1" applyAlignment="1" applyProtection="1">
      <alignment horizontal="center" vertical="center"/>
      <protection hidden="1"/>
    </xf>
    <xf numFmtId="0" fontId="32" fillId="16" borderId="75" xfId="0" applyFont="1" applyFill="1" applyBorder="1" applyAlignment="1" applyProtection="1">
      <alignment horizontal="center" vertical="center"/>
      <protection hidden="1"/>
    </xf>
    <xf numFmtId="0" fontId="32" fillId="16" borderId="29" xfId="0" applyFont="1" applyFill="1" applyBorder="1" applyAlignment="1" applyProtection="1">
      <alignment horizontal="center" vertical="center"/>
      <protection hidden="1"/>
    </xf>
    <xf numFmtId="169" fontId="32" fillId="16" borderId="33" xfId="0" applyNumberFormat="1" applyFont="1" applyFill="1" applyBorder="1" applyAlignment="1" applyProtection="1">
      <alignment horizontal="center" vertical="center"/>
      <protection hidden="1"/>
    </xf>
    <xf numFmtId="0" fontId="32" fillId="16" borderId="47" xfId="0" applyFont="1" applyFill="1" applyBorder="1" applyAlignment="1" applyProtection="1">
      <alignment horizontal="center" vertical="center"/>
      <protection hidden="1"/>
    </xf>
    <xf numFmtId="0" fontId="32" fillId="16" borderId="65" xfId="0" applyFont="1" applyFill="1" applyBorder="1" applyAlignment="1" applyProtection="1">
      <alignment horizontal="center" vertical="center"/>
      <protection hidden="1"/>
    </xf>
    <xf numFmtId="164" fontId="32" fillId="16" borderId="5" xfId="0" applyNumberFormat="1" applyFont="1" applyFill="1" applyBorder="1" applyAlignment="1" applyProtection="1">
      <alignment horizontal="center" vertical="center"/>
      <protection hidden="1"/>
    </xf>
    <xf numFmtId="164" fontId="32" fillId="16" borderId="3" xfId="0" applyNumberFormat="1" applyFont="1" applyFill="1" applyBorder="1" applyAlignment="1" applyProtection="1">
      <alignment horizontal="center" vertical="center"/>
      <protection hidden="1"/>
    </xf>
    <xf numFmtId="166" fontId="32" fillId="16" borderId="1" xfId="0" applyNumberFormat="1" applyFont="1" applyFill="1" applyBorder="1" applyAlignment="1" applyProtection="1">
      <alignment horizontal="center" vertical="center"/>
      <protection hidden="1"/>
    </xf>
    <xf numFmtId="164" fontId="32" fillId="16" borderId="1" xfId="0" applyNumberFormat="1" applyFont="1" applyFill="1" applyBorder="1" applyAlignment="1" applyProtection="1">
      <alignment horizontal="center" vertical="center"/>
      <protection hidden="1"/>
    </xf>
    <xf numFmtId="0" fontId="32" fillId="16" borderId="72" xfId="0" applyFont="1" applyFill="1" applyBorder="1" applyProtection="1">
      <protection hidden="1"/>
    </xf>
    <xf numFmtId="0" fontId="32" fillId="16" borderId="68" xfId="4" applyFont="1" applyFill="1" applyBorder="1" applyProtection="1">
      <alignment horizontal="center" vertical="center"/>
      <protection hidden="1"/>
    </xf>
    <xf numFmtId="0" fontId="32" fillId="16" borderId="72" xfId="4" applyFont="1" applyFill="1" applyBorder="1" applyProtection="1">
      <alignment horizontal="center" vertical="center"/>
      <protection hidden="1"/>
    </xf>
    <xf numFmtId="171" fontId="32" fillId="16" borderId="3" xfId="0" applyNumberFormat="1" applyFont="1" applyFill="1" applyBorder="1" applyAlignment="1" applyProtection="1">
      <alignment horizontal="center" vertical="center"/>
      <protection hidden="1"/>
    </xf>
    <xf numFmtId="0" fontId="32" fillId="16" borderId="68" xfId="0" applyFont="1" applyFill="1" applyBorder="1" applyProtection="1">
      <protection hidden="1"/>
    </xf>
    <xf numFmtId="0" fontId="32" fillId="16" borderId="73" xfId="4" applyFont="1" applyFill="1" applyBorder="1" applyProtection="1">
      <alignment horizontal="center" vertical="center"/>
      <protection hidden="1"/>
    </xf>
    <xf numFmtId="0" fontId="32" fillId="16" borderId="69" xfId="0" applyFont="1" applyFill="1" applyBorder="1" applyProtection="1">
      <protection hidden="1"/>
    </xf>
    <xf numFmtId="0" fontId="32" fillId="16" borderId="71" xfId="4" applyFont="1" applyFill="1" applyBorder="1" applyProtection="1">
      <alignment horizontal="center" vertical="center"/>
      <protection hidden="1"/>
    </xf>
    <xf numFmtId="0" fontId="32" fillId="16" borderId="67" xfId="0" applyFont="1" applyFill="1" applyBorder="1" applyProtection="1">
      <protection hidden="1"/>
    </xf>
    <xf numFmtId="165" fontId="32" fillId="16" borderId="5" xfId="0" applyNumberFormat="1" applyFont="1" applyFill="1" applyBorder="1" applyAlignment="1" applyProtection="1">
      <alignment horizontal="center" vertical="center"/>
      <protection hidden="1"/>
    </xf>
    <xf numFmtId="2" fontId="32" fillId="16" borderId="3" xfId="0" applyNumberFormat="1" applyFont="1" applyFill="1" applyBorder="1" applyAlignment="1" applyProtection="1">
      <alignment horizontal="center" vertical="center"/>
      <protection hidden="1"/>
    </xf>
    <xf numFmtId="0" fontId="32" fillId="16" borderId="69" xfId="4" applyFont="1" applyFill="1" applyBorder="1" applyProtection="1">
      <alignment horizontal="center" vertical="center"/>
      <protection hidden="1"/>
    </xf>
    <xf numFmtId="0" fontId="32" fillId="16" borderId="74" xfId="4" applyFont="1" applyFill="1" applyBorder="1" applyProtection="1">
      <alignment horizontal="center" vertical="center"/>
      <protection hidden="1"/>
    </xf>
    <xf numFmtId="0" fontId="32" fillId="16" borderId="70" xfId="4" applyFont="1" applyFill="1" applyBorder="1" applyProtection="1">
      <alignment horizontal="center" vertical="center"/>
      <protection hidden="1"/>
    </xf>
    <xf numFmtId="2" fontId="32" fillId="16" borderId="18" xfId="0" applyNumberFormat="1" applyFont="1" applyFill="1" applyBorder="1" applyAlignment="1" applyProtection="1">
      <alignment horizontal="center" vertical="center"/>
      <protection hidden="1"/>
    </xf>
    <xf numFmtId="165" fontId="32" fillId="16" borderId="20" xfId="0" applyNumberFormat="1" applyFont="1" applyFill="1" applyBorder="1" applyAlignment="1" applyProtection="1">
      <alignment horizontal="center" vertical="center"/>
      <protection hidden="1"/>
    </xf>
    <xf numFmtId="2" fontId="32" fillId="16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2" fontId="7" fillId="9" borderId="36" xfId="0" applyNumberFormat="1" applyFont="1" applyFill="1" applyBorder="1" applyAlignment="1" applyProtection="1">
      <alignment horizontal="center" vertical="center"/>
      <protection hidden="1"/>
    </xf>
    <xf numFmtId="2" fontId="7" fillId="6" borderId="4" xfId="0" applyNumberFormat="1" applyFont="1" applyFill="1" applyBorder="1" applyAlignment="1" applyProtection="1">
      <alignment horizontal="center" vertical="center"/>
      <protection hidden="1"/>
    </xf>
    <xf numFmtId="2" fontId="7" fillId="6" borderId="40" xfId="0" applyNumberFormat="1" applyFont="1" applyFill="1" applyBorder="1" applyAlignment="1" applyProtection="1">
      <alignment horizontal="center" vertical="center"/>
      <protection hidden="1"/>
    </xf>
    <xf numFmtId="2" fontId="7" fillId="6" borderId="59" xfId="0" applyNumberFormat="1" applyFont="1" applyFill="1" applyBorder="1" applyAlignment="1" applyProtection="1">
      <alignment horizontal="center" vertical="center"/>
      <protection hidden="1"/>
    </xf>
    <xf numFmtId="2" fontId="7" fillId="6" borderId="60" xfId="0" applyNumberFormat="1" applyFont="1" applyFill="1" applyBorder="1" applyAlignment="1" applyProtection="1">
      <alignment horizontal="center" vertical="center"/>
      <protection hidden="1"/>
    </xf>
    <xf numFmtId="1" fontId="7" fillId="9" borderId="4" xfId="0" applyNumberFormat="1" applyFont="1" applyFill="1" applyBorder="1" applyAlignment="1" applyProtection="1">
      <alignment horizontal="center" vertical="center"/>
      <protection hidden="1"/>
    </xf>
    <xf numFmtId="1" fontId="7" fillId="9" borderId="40" xfId="0" applyNumberFormat="1" applyFont="1" applyFill="1" applyBorder="1" applyAlignment="1" applyProtection="1">
      <alignment horizontal="center" vertical="center"/>
      <protection hidden="1"/>
    </xf>
    <xf numFmtId="1" fontId="7" fillId="9" borderId="42" xfId="0" applyNumberFormat="1" applyFont="1" applyFill="1" applyBorder="1" applyAlignment="1" applyProtection="1">
      <alignment horizontal="center" vertical="center"/>
      <protection hidden="1"/>
    </xf>
    <xf numFmtId="1" fontId="7" fillId="9" borderId="43" xfId="0" applyNumberFormat="1" applyFont="1" applyFill="1" applyBorder="1" applyAlignment="1" applyProtection="1">
      <alignment horizontal="center" vertical="center"/>
      <protection hidden="1"/>
    </xf>
    <xf numFmtId="1" fontId="7" fillId="9" borderId="7" xfId="0" applyNumberFormat="1" applyFont="1" applyFill="1" applyBorder="1" applyAlignment="1" applyProtection="1">
      <alignment horizontal="center" vertical="center"/>
      <protection hidden="1"/>
    </xf>
    <xf numFmtId="1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9" fillId="6" borderId="14" xfId="0" applyNumberFormat="1" applyFont="1" applyFill="1" applyBorder="1" applyProtection="1">
      <protection hidden="1"/>
    </xf>
    <xf numFmtId="2" fontId="9" fillId="6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16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vertical="center" wrapText="1"/>
      <protection hidden="1"/>
    </xf>
    <xf numFmtId="2" fontId="7" fillId="6" borderId="15" xfId="0" applyNumberFormat="1" applyFont="1" applyFill="1" applyBorder="1" applyProtection="1">
      <protection hidden="1"/>
    </xf>
    <xf numFmtId="2" fontId="13" fillId="6" borderId="15" xfId="0" applyNumberFormat="1" applyFont="1" applyFill="1" applyBorder="1" applyAlignment="1" applyProtection="1">
      <alignment horizontal="left" vertical="center" wrapText="1"/>
      <protection hidden="1"/>
    </xf>
    <xf numFmtId="1" fontId="7" fillId="9" borderId="44" xfId="0" applyNumberFormat="1" applyFont="1" applyFill="1" applyBorder="1" applyAlignment="1" applyProtection="1">
      <alignment horizontal="center" vertical="center"/>
      <protection hidden="1"/>
    </xf>
    <xf numFmtId="167" fontId="9" fillId="9" borderId="4" xfId="0" applyNumberFormat="1" applyFont="1" applyFill="1" applyBorder="1" applyAlignment="1" applyProtection="1">
      <alignment horizontal="center" vertical="center"/>
      <protection hidden="1"/>
    </xf>
    <xf numFmtId="167" fontId="9" fillId="9" borderId="5" xfId="0" applyNumberFormat="1" applyFont="1" applyFill="1" applyBorder="1" applyAlignment="1" applyProtection="1">
      <alignment horizontal="center" vertical="center"/>
      <protection hidden="1"/>
    </xf>
    <xf numFmtId="1" fontId="9" fillId="9" borderId="40" xfId="0" applyNumberFormat="1" applyFont="1" applyFill="1" applyBorder="1" applyAlignment="1" applyProtection="1">
      <alignment horizontal="center"/>
      <protection hidden="1"/>
    </xf>
    <xf numFmtId="167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5" xfId="0" applyNumberFormat="1" applyFont="1" applyFill="1" applyBorder="1" applyAlignment="1" applyProtection="1">
      <alignment horizontal="center"/>
      <protection hidden="1"/>
    </xf>
    <xf numFmtId="167" fontId="9" fillId="9" borderId="7" xfId="0" applyNumberFormat="1" applyFont="1" applyFill="1" applyBorder="1" applyAlignment="1" applyProtection="1">
      <alignment horizontal="center" vertical="center"/>
      <protection hidden="1"/>
    </xf>
    <xf numFmtId="167" fontId="9" fillId="9" borderId="8" xfId="0" applyNumberFormat="1" applyFont="1" applyFill="1" applyBorder="1" applyAlignment="1" applyProtection="1">
      <alignment horizontal="center" vertical="center"/>
      <protection hidden="1"/>
    </xf>
    <xf numFmtId="2" fontId="7" fillId="9" borderId="8" xfId="0" applyNumberFormat="1" applyFont="1" applyFill="1" applyBorder="1" applyAlignment="1" applyProtection="1">
      <alignment horizontal="center" vertical="center"/>
      <protection hidden="1"/>
    </xf>
    <xf numFmtId="1" fontId="9" fillId="9" borderId="12" xfId="0" applyNumberFormat="1" applyFont="1" applyFill="1" applyBorder="1" applyAlignment="1" applyProtection="1">
      <alignment horizontal="center"/>
      <protection hidden="1"/>
    </xf>
    <xf numFmtId="167" fontId="8" fillId="9" borderId="9" xfId="0" applyNumberFormat="1" applyFont="1" applyFill="1" applyBorder="1" applyAlignment="1" applyProtection="1">
      <alignment horizontal="center" vertical="center"/>
      <protection hidden="1"/>
    </xf>
    <xf numFmtId="167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7" fillId="9" borderId="11" xfId="0" applyNumberFormat="1" applyFont="1" applyFill="1" applyBorder="1" applyAlignment="1" applyProtection="1">
      <alignment horizontal="center" vertical="center"/>
      <protection hidden="1"/>
    </xf>
    <xf numFmtId="169" fontId="9" fillId="9" borderId="4" xfId="0" applyNumberFormat="1" applyFont="1" applyFill="1" applyBorder="1" applyAlignment="1" applyProtection="1">
      <alignment horizontal="center" vertical="center"/>
      <protection hidden="1"/>
    </xf>
    <xf numFmtId="169" fontId="9" fillId="9" borderId="5" xfId="0" applyNumberFormat="1" applyFont="1" applyFill="1" applyBorder="1" applyAlignment="1" applyProtection="1">
      <alignment horizontal="center" vertical="center"/>
      <protection hidden="1"/>
    </xf>
    <xf numFmtId="2" fontId="9" fillId="9" borderId="5" xfId="0" applyNumberFormat="1" applyFont="1" applyFill="1" applyBorder="1" applyAlignment="1" applyProtection="1">
      <alignment horizontal="center"/>
      <protection hidden="1"/>
    </xf>
    <xf numFmtId="169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3" xfId="0" applyNumberFormat="1" applyFont="1" applyFill="1" applyBorder="1" applyAlignment="1" applyProtection="1">
      <alignment horizontal="center"/>
      <protection hidden="1"/>
    </xf>
    <xf numFmtId="169" fontId="9" fillId="9" borderId="7" xfId="0" applyNumberFormat="1" applyFont="1" applyFill="1" applyBorder="1" applyAlignment="1" applyProtection="1">
      <alignment horizontal="center" vertical="center"/>
      <protection hidden="1"/>
    </xf>
    <xf numFmtId="169" fontId="9" fillId="9" borderId="8" xfId="0" applyNumberFormat="1" applyFont="1" applyFill="1" applyBorder="1" applyAlignment="1" applyProtection="1">
      <alignment horizontal="center" vertical="center"/>
      <protection hidden="1"/>
    </xf>
    <xf numFmtId="2" fontId="9" fillId="9" borderId="8" xfId="0" applyNumberFormat="1" applyFont="1" applyFill="1" applyBorder="1" applyAlignment="1" applyProtection="1">
      <alignment horizontal="center"/>
      <protection hidden="1"/>
    </xf>
    <xf numFmtId="2" fontId="9" fillId="9" borderId="11" xfId="0" applyNumberFormat="1" applyFont="1" applyFill="1" applyBorder="1" applyAlignment="1" applyProtection="1">
      <alignment horizontal="center"/>
      <protection hidden="1"/>
    </xf>
    <xf numFmtId="171" fontId="7" fillId="7" borderId="42" xfId="0" applyNumberFormat="1" applyFont="1" applyFill="1" applyBorder="1" applyAlignment="1" applyProtection="1">
      <alignment horizontal="center" vertical="center"/>
      <protection locked="0" hidden="1"/>
    </xf>
    <xf numFmtId="164" fontId="7" fillId="16" borderId="43" xfId="0" applyNumberFormat="1" applyFont="1" applyFill="1" applyBorder="1" applyAlignment="1" applyProtection="1">
      <alignment horizontal="center" vertical="center"/>
      <protection hidden="1"/>
    </xf>
    <xf numFmtId="2" fontId="7" fillId="16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7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8" xfId="0" applyNumberFormat="1" applyFont="1" applyFill="1" applyBorder="1" applyAlignment="1" applyProtection="1">
      <alignment horizontal="center" vertical="center"/>
      <protection locked="0" hidden="1"/>
    </xf>
    <xf numFmtId="165" fontId="7" fillId="9" borderId="8" xfId="0" applyNumberFormat="1" applyFont="1" applyFill="1" applyBorder="1" applyAlignment="1" applyProtection="1">
      <alignment horizontal="center" vertical="center"/>
      <protection hidden="1"/>
    </xf>
    <xf numFmtId="166" fontId="7" fillId="9" borderId="8" xfId="0" applyNumberFormat="1" applyFont="1" applyFill="1" applyBorder="1" applyAlignment="1" applyProtection="1">
      <alignment horizontal="center" vertical="center"/>
      <protection hidden="1"/>
    </xf>
    <xf numFmtId="2" fontId="7" fillId="16" borderId="12" xfId="0" applyNumberFormat="1" applyFont="1" applyFill="1" applyBorder="1" applyAlignment="1" applyProtection="1">
      <alignment horizontal="center" vertical="center"/>
      <protection hidden="1"/>
    </xf>
    <xf numFmtId="2" fontId="7" fillId="0" borderId="25" xfId="0" applyNumberFormat="1" applyFont="1" applyBorder="1" applyProtection="1">
      <protection hidden="1"/>
    </xf>
    <xf numFmtId="164" fontId="7" fillId="9" borderId="43" xfId="0" applyNumberFormat="1" applyFont="1" applyFill="1" applyBorder="1" applyAlignment="1" applyProtection="1">
      <alignment horizontal="center" vertical="center"/>
      <protection hidden="1"/>
    </xf>
    <xf numFmtId="164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7" fillId="6" borderId="5" xfId="0" applyNumberFormat="1" applyFont="1" applyFill="1" applyBorder="1" applyAlignment="1" applyProtection="1">
      <alignment horizontal="center" vertical="center"/>
      <protection hidden="1"/>
    </xf>
    <xf numFmtId="171" fontId="7" fillId="6" borderId="7" xfId="0" applyNumberFormat="1" applyFont="1" applyFill="1" applyBorder="1" applyAlignment="1" applyProtection="1">
      <alignment horizontal="center" vertical="center"/>
      <protection hidden="1"/>
    </xf>
    <xf numFmtId="171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7" fillId="9" borderId="12" xfId="0" applyNumberFormat="1" applyFont="1" applyFill="1" applyBorder="1" applyAlignment="1" applyProtection="1">
      <alignment horizontal="center" vertical="center"/>
      <protection hidden="1"/>
    </xf>
    <xf numFmtId="171" fontId="7" fillId="6" borderId="4" xfId="0" applyNumberFormat="1" applyFont="1" applyFill="1" applyBorder="1" applyAlignment="1" applyProtection="1">
      <alignment horizontal="center" vertical="center"/>
      <protection hidden="1"/>
    </xf>
    <xf numFmtId="171" fontId="7" fillId="9" borderId="5" xfId="0" applyNumberFormat="1" applyFont="1" applyFill="1" applyBorder="1" applyAlignment="1" applyProtection="1">
      <alignment horizontal="center" vertical="center"/>
      <protection hidden="1"/>
    </xf>
    <xf numFmtId="171" fontId="7" fillId="9" borderId="40" xfId="0" applyNumberFormat="1" applyFont="1" applyFill="1" applyBorder="1" applyAlignment="1" applyProtection="1">
      <alignment horizontal="center" vertical="center"/>
      <protection hidden="1"/>
    </xf>
    <xf numFmtId="171" fontId="7" fillId="7" borderId="3" xfId="0" applyNumberFormat="1" applyFont="1" applyFill="1" applyBorder="1" applyAlignment="1" applyProtection="1">
      <alignment horizontal="center" vertical="center"/>
      <protection locked="0" hidden="1"/>
    </xf>
    <xf numFmtId="2" fontId="13" fillId="6" borderId="71" xfId="0" applyNumberFormat="1" applyFont="1" applyFill="1" applyBorder="1" applyAlignment="1" applyProtection="1">
      <alignment horizontal="center" vertical="center"/>
      <protection hidden="1"/>
    </xf>
    <xf numFmtId="2" fontId="13" fillId="6" borderId="7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3" xfId="0" applyNumberFormat="1" applyFont="1" applyFill="1" applyBorder="1" applyAlignment="1" applyProtection="1">
      <alignment horizontal="center" wrapText="1"/>
      <protection hidden="1"/>
    </xf>
    <xf numFmtId="2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4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40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3" xfId="0" applyNumberFormat="1" applyFont="1" applyFill="1" applyBorder="1" applyAlignment="1" applyProtection="1">
      <alignment horizontal="center" vertical="center"/>
      <protection locked="0" hidden="1"/>
    </xf>
    <xf numFmtId="171" fontId="13" fillId="9" borderId="42" xfId="0" applyNumberFormat="1" applyFont="1" applyFill="1" applyBorder="1" applyAlignment="1" applyProtection="1">
      <alignment horizontal="center" vertical="center"/>
      <protection hidden="1"/>
    </xf>
    <xf numFmtId="171" fontId="13" fillId="9" borderId="43" xfId="0" applyNumberFormat="1" applyFont="1" applyFill="1" applyBorder="1" applyAlignment="1" applyProtection="1">
      <alignment horizontal="center" vertical="center"/>
      <protection hidden="1"/>
    </xf>
    <xf numFmtId="171" fontId="13" fillId="9" borderId="7" xfId="0" applyNumberFormat="1" applyFont="1" applyFill="1" applyBorder="1" applyAlignment="1" applyProtection="1">
      <alignment horizontal="center" vertical="center"/>
      <protection hidden="1"/>
    </xf>
    <xf numFmtId="171" fontId="13" fillId="9" borderId="8" xfId="0" applyNumberFormat="1" applyFont="1" applyFill="1" applyBorder="1" applyAlignment="1" applyProtection="1">
      <alignment horizontal="center" vertical="center"/>
      <protection hidden="1"/>
    </xf>
    <xf numFmtId="171" fontId="13" fillId="9" borderId="12" xfId="0" applyNumberFormat="1" applyFont="1" applyFill="1" applyBorder="1" applyAlignment="1" applyProtection="1">
      <alignment horizontal="center" vertical="center"/>
      <protection hidden="1"/>
    </xf>
    <xf numFmtId="2" fontId="13" fillId="9" borderId="36" xfId="0" applyNumberFormat="1" applyFont="1" applyFill="1" applyBorder="1" applyAlignment="1" applyProtection="1">
      <alignment horizontal="center" vertical="center"/>
      <protection hidden="1"/>
    </xf>
    <xf numFmtId="0" fontId="4" fillId="17" borderId="4" xfId="0" applyFont="1" applyFill="1" applyBorder="1" applyAlignment="1" applyProtection="1">
      <alignment horizontal="left" vertical="center" wrapText="1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4" fillId="17" borderId="5" xfId="0" applyFont="1" applyFill="1" applyBorder="1" applyAlignment="1" applyProtection="1">
      <alignment horizontal="left" vertical="center" wrapText="1"/>
      <protection hidden="1"/>
    </xf>
    <xf numFmtId="1" fontId="7" fillId="9" borderId="5" xfId="0" applyNumberFormat="1" applyFont="1" applyFill="1" applyBorder="1" applyAlignment="1" applyProtection="1">
      <alignment horizontal="center" vertical="center"/>
      <protection hidden="1"/>
    </xf>
    <xf numFmtId="0" fontId="38" fillId="17" borderId="5" xfId="0" applyFont="1" applyFill="1" applyBorder="1" applyAlignment="1" applyProtection="1">
      <alignment horizontal="left" vertical="center" wrapText="1"/>
      <protection hidden="1"/>
    </xf>
    <xf numFmtId="1" fontId="7" fillId="9" borderId="40" xfId="0" applyNumberFormat="1" applyFont="1" applyFill="1" applyBorder="1" applyAlignment="1" applyProtection="1">
      <alignment horizontal="center" vertical="center" wrapText="1"/>
      <protection hidden="1"/>
    </xf>
    <xf numFmtId="0" fontId="38" fillId="17" borderId="8" xfId="0" applyFont="1" applyFill="1" applyBorder="1" applyAlignment="1" applyProtection="1">
      <alignment horizontal="center" vertical="center" wrapText="1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4" fillId="17" borderId="8" xfId="0" applyFont="1" applyFill="1" applyBorder="1" applyAlignment="1" applyProtection="1">
      <alignment horizontal="left" vertical="center" wrapText="1"/>
      <protection hidden="1"/>
    </xf>
    <xf numFmtId="0" fontId="7" fillId="9" borderId="12" xfId="0" applyFont="1" applyFill="1" applyBorder="1" applyAlignment="1" applyProtection="1">
      <alignment horizontal="center" vertical="center"/>
      <protection hidden="1"/>
    </xf>
    <xf numFmtId="2" fontId="8" fillId="6" borderId="32" xfId="2" applyNumberFormat="1" applyFont="1" applyFill="1" applyBorder="1" applyAlignment="1" applyProtection="1">
      <protection hidden="1"/>
    </xf>
    <xf numFmtId="1" fontId="13" fillId="14" borderId="34" xfId="3" applyNumberFormat="1" applyFont="1" applyBorder="1" applyAlignment="1" applyProtection="1">
      <alignment horizontal="center" vertical="center"/>
      <protection locked="0" hidden="1"/>
    </xf>
    <xf numFmtId="0" fontId="7" fillId="9" borderId="20" xfId="0" applyFont="1" applyFill="1" applyBorder="1" applyAlignment="1" applyProtection="1">
      <alignment horizontal="center" vertical="center"/>
      <protection hidden="1"/>
    </xf>
    <xf numFmtId="1" fontId="8" fillId="14" borderId="14" xfId="3" applyNumberFormat="1" applyFont="1" applyBorder="1" applyAlignment="1" applyProtection="1">
      <alignment horizontal="center" vertical="center"/>
      <protection locked="0" hidden="1"/>
    </xf>
    <xf numFmtId="1" fontId="9" fillId="14" borderId="16" xfId="3" applyNumberFormat="1" applyFont="1" applyBorder="1" applyAlignment="1" applyProtection="1">
      <alignment horizontal="center" vertical="center"/>
      <protection locked="0" hidden="1"/>
    </xf>
    <xf numFmtId="2" fontId="7" fillId="0" borderId="41" xfId="0" applyNumberFormat="1" applyFont="1" applyBorder="1" applyAlignment="1" applyProtection="1">
      <alignment vertical="center"/>
      <protection hidden="1"/>
    </xf>
    <xf numFmtId="0" fontId="7" fillId="9" borderId="44" xfId="0" applyFont="1" applyFill="1" applyBorder="1" applyAlignment="1" applyProtection="1">
      <alignment horizontal="center" vertical="center"/>
      <protection hidden="1"/>
    </xf>
    <xf numFmtId="0" fontId="7" fillId="9" borderId="45" xfId="0" applyFont="1" applyFill="1" applyBorder="1" applyAlignment="1" applyProtection="1">
      <alignment horizontal="center" vertical="center"/>
      <protection hidden="1"/>
    </xf>
    <xf numFmtId="0" fontId="7" fillId="9" borderId="42" xfId="0" applyFont="1" applyFill="1" applyBorder="1" applyAlignment="1" applyProtection="1">
      <alignment horizontal="center" vertical="center"/>
      <protection hidden="1"/>
    </xf>
    <xf numFmtId="0" fontId="7" fillId="9" borderId="43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center" vertical="center"/>
      <protection hidden="1"/>
    </xf>
    <xf numFmtId="2" fontId="7" fillId="9" borderId="58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7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70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56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" xfId="0" applyNumberFormat="1" applyFont="1" applyFill="1" applyBorder="1" applyAlignment="1" applyProtection="1">
      <alignment horizontal="centerContinuous" vertical="center" wrapText="1"/>
      <protection hidden="1"/>
    </xf>
    <xf numFmtId="1" fontId="7" fillId="14" borderId="57" xfId="3" applyNumberFormat="1" applyFont="1" applyBorder="1" applyAlignment="1" applyProtection="1">
      <alignment horizontal="center" vertical="center"/>
      <protection locked="0" hidden="1"/>
    </xf>
    <xf numFmtId="2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20" xfId="0" applyNumberFormat="1" applyFont="1" applyFill="1" applyBorder="1" applyAlignment="1" applyProtection="1">
      <alignment horizontal="center" vertical="center"/>
      <protection locked="0" hidden="1"/>
    </xf>
    <xf numFmtId="166" fontId="7" fillId="9" borderId="20" xfId="0" applyNumberFormat="1" applyFont="1" applyFill="1" applyBorder="1" applyAlignment="1" applyProtection="1">
      <alignment horizontal="center" vertical="center"/>
      <protection hidden="1"/>
    </xf>
    <xf numFmtId="164" fontId="7" fillId="16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left" vertical="center"/>
      <protection hidden="1"/>
    </xf>
    <xf numFmtId="2" fontId="7" fillId="6" borderId="11" xfId="0" applyNumberFormat="1" applyFont="1" applyFill="1" applyBorder="1" applyAlignment="1" applyProtection="1">
      <alignment horizontal="left" vertical="center"/>
      <protection hidden="1"/>
    </xf>
    <xf numFmtId="164" fontId="7" fillId="9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79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18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3" xfId="0" applyNumberFormat="1" applyFont="1" applyFill="1" applyBorder="1" applyAlignment="1" applyProtection="1">
      <alignment horizontal="center" vertical="center"/>
      <protection locked="0" hidden="1"/>
    </xf>
    <xf numFmtId="166" fontId="7" fillId="6" borderId="74" xfId="0" applyNumberFormat="1" applyFont="1" applyFill="1" applyBorder="1" applyAlignment="1" applyProtection="1">
      <alignment horizontal="center" vertical="center"/>
      <protection hidden="1"/>
    </xf>
    <xf numFmtId="169" fontId="7" fillId="6" borderId="72" xfId="0" applyNumberFormat="1" applyFont="1" applyFill="1" applyBorder="1" applyAlignment="1" applyProtection="1">
      <alignment horizontal="center" vertical="center"/>
      <protection hidden="1"/>
    </xf>
    <xf numFmtId="169" fontId="7" fillId="6" borderId="73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vertical="center" wrapText="1"/>
      <protection hidden="1"/>
    </xf>
    <xf numFmtId="10" fontId="8" fillId="9" borderId="36" xfId="1" applyNumberFormat="1" applyFont="1" applyFill="1" applyBorder="1" applyAlignment="1" applyProtection="1">
      <alignment horizontal="center" vertical="center"/>
      <protection hidden="1"/>
    </xf>
    <xf numFmtId="1" fontId="8" fillId="10" borderId="4" xfId="0" applyNumberFormat="1" applyFont="1" applyFill="1" applyBorder="1" applyAlignment="1" applyProtection="1">
      <alignment horizontal="center" vertical="center" wrapText="1"/>
      <protection hidden="1"/>
    </xf>
    <xf numFmtId="1" fontId="8" fillId="10" borderId="5" xfId="0" applyNumberFormat="1" applyFont="1" applyFill="1" applyBorder="1" applyAlignment="1" applyProtection="1">
      <alignment horizontal="center" vertical="center" wrapText="1"/>
      <protection hidden="1"/>
    </xf>
    <xf numFmtId="1" fontId="8" fillId="16" borderId="40" xfId="0" applyNumberFormat="1" applyFont="1" applyFill="1" applyBorder="1" applyAlignment="1" applyProtection="1">
      <alignment horizontal="center" vertical="center" wrapText="1"/>
      <protection hidden="1"/>
    </xf>
    <xf numFmtId="164" fontId="39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39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39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39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9" xfId="0" applyNumberFormat="1" applyFont="1" applyFill="1" applyBorder="1" applyAlignment="1" applyProtection="1">
      <alignment horizontal="center" vertical="center"/>
      <protection hidden="1"/>
    </xf>
    <xf numFmtId="2" fontId="18" fillId="6" borderId="52" xfId="0" applyNumberFormat="1" applyFont="1" applyFill="1" applyBorder="1" applyAlignment="1" applyProtection="1">
      <alignment horizontal="center" vertical="center"/>
      <protection hidden="1"/>
    </xf>
    <xf numFmtId="2" fontId="18" fillId="6" borderId="55" xfId="0" applyNumberFormat="1" applyFont="1" applyFill="1" applyBorder="1" applyAlignment="1" applyProtection="1">
      <alignment horizontal="centerContinuous" vertical="center" wrapText="1"/>
      <protection hidden="1"/>
    </xf>
    <xf numFmtId="2" fontId="18" fillId="6" borderId="80" xfId="0" applyNumberFormat="1" applyFont="1" applyFill="1" applyBorder="1" applyAlignment="1" applyProtection="1">
      <alignment horizontal="centerContinuous" vertical="center" wrapText="1"/>
      <protection hidden="1"/>
    </xf>
    <xf numFmtId="2" fontId="7" fillId="6" borderId="49" xfId="0" applyNumberFormat="1" applyFont="1" applyFill="1" applyBorder="1" applyProtection="1">
      <protection hidden="1"/>
    </xf>
    <xf numFmtId="2" fontId="7" fillId="6" borderId="50" xfId="0" applyNumberFormat="1" applyFont="1" applyFill="1" applyBorder="1" applyProtection="1">
      <protection hidden="1"/>
    </xf>
    <xf numFmtId="2" fontId="7" fillId="6" borderId="56" xfId="0" applyNumberFormat="1" applyFont="1" applyFill="1" applyBorder="1" applyAlignment="1" applyProtection="1">
      <alignment horizontal="centerContinuous"/>
      <protection hidden="1"/>
    </xf>
    <xf numFmtId="2" fontId="7" fillId="6" borderId="81" xfId="0" applyNumberFormat="1" applyFont="1" applyFill="1" applyBorder="1" applyAlignment="1" applyProtection="1">
      <alignment horizontal="centerContinuous"/>
      <protection hidden="1"/>
    </xf>
    <xf numFmtId="174" fontId="7" fillId="9" borderId="4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8" xfId="1" applyNumberFormat="1" applyFont="1" applyFill="1" applyBorder="1" applyAlignment="1" applyProtection="1">
      <alignment vertical="center" wrapText="1"/>
      <protection hidden="1"/>
    </xf>
    <xf numFmtId="174" fontId="7" fillId="9" borderId="65" xfId="1" applyNumberFormat="1" applyFont="1" applyFill="1" applyBorder="1" applyAlignment="1" applyProtection="1">
      <alignment vertical="center" wrapText="1"/>
      <protection hidden="1"/>
    </xf>
    <xf numFmtId="174" fontId="7" fillId="9" borderId="40" xfId="1" applyNumberFormat="1" applyFont="1" applyFill="1" applyBorder="1" applyAlignment="1" applyProtection="1">
      <alignment horizontal="center" vertical="center" wrapText="1"/>
      <protection hidden="1"/>
    </xf>
    <xf numFmtId="17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43" xfId="1" applyNumberFormat="1" applyFont="1" applyFill="1" applyBorder="1" applyAlignment="1" applyProtection="1">
      <alignment horizontal="center" vertical="center" wrapText="1"/>
      <protection hidden="1"/>
    </xf>
    <xf numFmtId="2" fontId="6" fillId="6" borderId="7" xfId="0" applyNumberFormat="1" applyFont="1" applyFill="1" applyBorder="1" applyAlignment="1" applyProtection="1">
      <alignment horizontal="center" vertical="center"/>
      <protection hidden="1"/>
    </xf>
    <xf numFmtId="174" fontId="13" fillId="9" borderId="8" xfId="0" applyNumberFormat="1" applyFont="1" applyFill="1" applyBorder="1" applyProtection="1">
      <protection hidden="1"/>
    </xf>
    <xf numFmtId="173" fontId="7" fillId="2" borderId="41" xfId="0" applyNumberFormat="1" applyFont="1" applyFill="1" applyBorder="1" applyProtection="1">
      <protection hidden="1"/>
    </xf>
    <xf numFmtId="167" fontId="7" fillId="9" borderId="69" xfId="0" applyNumberFormat="1" applyFont="1" applyFill="1" applyBorder="1" applyAlignment="1" applyProtection="1">
      <alignment horizontal="center" vertical="center"/>
      <protection hidden="1"/>
    </xf>
    <xf numFmtId="174" fontId="7" fillId="9" borderId="26" xfId="1" applyNumberFormat="1" applyFont="1" applyFill="1" applyBorder="1" applyAlignment="1" applyProtection="1">
      <alignment vertical="center" wrapText="1"/>
      <protection hidden="1"/>
    </xf>
    <xf numFmtId="174" fontId="7" fillId="9" borderId="29" xfId="0" applyNumberFormat="1" applyFont="1" applyFill="1" applyBorder="1" applyAlignment="1" applyProtection="1">
      <alignment vertical="center" wrapText="1"/>
      <protection hidden="1"/>
    </xf>
    <xf numFmtId="2" fontId="21" fillId="3" borderId="14" xfId="0" applyNumberFormat="1" applyFont="1" applyFill="1" applyBorder="1" applyAlignment="1" applyProtection="1">
      <alignment horizontal="left" vertical="center"/>
      <protection hidden="1"/>
    </xf>
    <xf numFmtId="2" fontId="14" fillId="3" borderId="16" xfId="0" applyNumberFormat="1" applyFont="1" applyFill="1" applyBorder="1" applyProtection="1">
      <protection hidden="1"/>
    </xf>
    <xf numFmtId="2" fontId="21" fillId="3" borderId="22" xfId="0" applyNumberFormat="1" applyFont="1" applyFill="1" applyBorder="1" applyAlignment="1" applyProtection="1">
      <alignment horizontal="right" vertical="center"/>
      <protection hidden="1"/>
    </xf>
    <xf numFmtId="2" fontId="21" fillId="3" borderId="32" xfId="0" applyNumberFormat="1" applyFont="1" applyFill="1" applyBorder="1" applyAlignment="1" applyProtection="1">
      <alignment horizontal="right" vertical="center"/>
      <protection hidden="1"/>
    </xf>
    <xf numFmtId="2" fontId="21" fillId="3" borderId="23" xfId="0" applyNumberFormat="1" applyFont="1" applyFill="1" applyBorder="1" applyAlignment="1" applyProtection="1">
      <alignment horizontal="right" vertical="center"/>
      <protection hidden="1"/>
    </xf>
    <xf numFmtId="16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2" fontId="9" fillId="9" borderId="43" xfId="0" applyNumberFormat="1" applyFont="1" applyFill="1" applyBorder="1" applyAlignment="1" applyProtection="1">
      <alignment horizontal="center" vertical="center"/>
      <protection hidden="1"/>
    </xf>
    <xf numFmtId="2" fontId="7" fillId="2" borderId="32" xfId="0" applyNumberFormat="1" applyFont="1" applyFill="1" applyBorder="1" applyProtection="1">
      <protection hidden="1"/>
    </xf>
    <xf numFmtId="2" fontId="18" fillId="6" borderId="7" xfId="0" applyNumberFormat="1" applyFont="1" applyFill="1" applyBorder="1" applyAlignment="1" applyProtection="1">
      <alignment horizontal="left" vertical="center"/>
      <protection hidden="1"/>
    </xf>
    <xf numFmtId="174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18" fillId="9" borderId="15" xfId="0" applyNumberFormat="1" applyFont="1" applyFill="1" applyBorder="1" applyAlignment="1" applyProtection="1">
      <alignment horizontal="center" vertical="center"/>
      <protection hidden="1"/>
    </xf>
    <xf numFmtId="1" fontId="42" fillId="9" borderId="57" xfId="0" applyNumberFormat="1" applyFont="1" applyFill="1" applyBorder="1" applyAlignment="1" applyProtection="1">
      <alignment horizontal="center" vertical="center"/>
      <protection hidden="1"/>
    </xf>
    <xf numFmtId="1" fontId="9" fillId="9" borderId="36" xfId="0" applyNumberFormat="1" applyFont="1" applyFill="1" applyBorder="1" applyAlignment="1" applyProtection="1">
      <alignment horizontal="center" vertical="center"/>
      <protection hidden="1"/>
    </xf>
    <xf numFmtId="174" fontId="7" fillId="9" borderId="2" xfId="0" applyNumberFormat="1" applyFont="1" applyFill="1" applyBorder="1" applyAlignment="1" applyProtection="1">
      <alignment horizontal="center" vertical="center"/>
      <protection hidden="1"/>
    </xf>
    <xf numFmtId="174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21" fillId="3" borderId="34" xfId="0" applyNumberFormat="1" applyFont="1" applyFill="1" applyBorder="1" applyAlignment="1" applyProtection="1">
      <alignment horizontal="center" vertical="center"/>
      <protection hidden="1"/>
    </xf>
    <xf numFmtId="2" fontId="21" fillId="3" borderId="57" xfId="0" applyNumberFormat="1" applyFont="1" applyFill="1" applyBorder="1" applyAlignment="1" applyProtection="1">
      <alignment horizontal="center" wrapText="1"/>
      <protection hidden="1"/>
    </xf>
    <xf numFmtId="2" fontId="21" fillId="3" borderId="35" xfId="0" applyNumberFormat="1" applyFont="1" applyFill="1" applyBorder="1" applyAlignment="1" applyProtection="1">
      <alignment horizontal="center" vertical="center"/>
      <protection hidden="1"/>
    </xf>
    <xf numFmtId="174" fontId="7" fillId="9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56" xfId="0" applyNumberFormat="1" applyFont="1" applyFill="1" applyBorder="1" applyAlignment="1" applyProtection="1">
      <alignment vertical="center"/>
      <protection hidden="1"/>
    </xf>
    <xf numFmtId="2" fontId="18" fillId="6" borderId="81" xfId="0" applyNumberFormat="1" applyFont="1" applyFill="1" applyBorder="1" applyAlignment="1" applyProtection="1">
      <alignment vertical="center"/>
      <protection hidden="1"/>
    </xf>
    <xf numFmtId="174" fontId="7" fillId="9" borderId="6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6" xfId="0" applyNumberFormat="1" applyFont="1" applyFill="1" applyBorder="1" applyAlignment="1" applyProtection="1">
      <alignment horizontal="center" vertical="center"/>
      <protection hidden="1"/>
    </xf>
    <xf numFmtId="2" fontId="21" fillId="3" borderId="36" xfId="0" applyNumberFormat="1" applyFont="1" applyFill="1" applyBorder="1" applyAlignment="1" applyProtection="1">
      <alignment horizontal="center" vertical="top"/>
      <protection hidden="1"/>
    </xf>
    <xf numFmtId="2" fontId="18" fillId="6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5" xfId="0" applyNumberFormat="1" applyFont="1" applyFill="1" applyBorder="1" applyAlignment="1" applyProtection="1">
      <alignment horizontal="center" vertical="center"/>
      <protection hidden="1"/>
    </xf>
    <xf numFmtId="2" fontId="26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18" fillId="6" borderId="7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/>
      <protection hidden="1"/>
    </xf>
    <xf numFmtId="2" fontId="8" fillId="6" borderId="14" xfId="2" applyNumberFormat="1" applyFont="1" applyFill="1" applyBorder="1" applyAlignment="1" applyProtection="1">
      <alignment horizontal="center" vertical="center"/>
      <protection hidden="1"/>
    </xf>
    <xf numFmtId="2" fontId="8" fillId="6" borderId="79" xfId="2" applyNumberFormat="1" applyFont="1" applyFill="1" applyBorder="1" applyAlignment="1" applyProtection="1">
      <alignment horizontal="center" vertical="center"/>
      <protection hidden="1"/>
    </xf>
    <xf numFmtId="0" fontId="3" fillId="6" borderId="10" xfId="2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2" applyFont="1" applyFill="1" applyBorder="1" applyAlignment="1" applyProtection="1">
      <alignment horizontal="center" vertical="center"/>
      <protection hidden="1"/>
    </xf>
    <xf numFmtId="174" fontId="13" fillId="9" borderId="5" xfId="0" applyNumberFormat="1" applyFont="1" applyFill="1" applyBorder="1" applyAlignment="1" applyProtection="1">
      <alignment horizontal="center" vertical="center"/>
      <protection hidden="1"/>
    </xf>
    <xf numFmtId="0" fontId="41" fillId="6" borderId="8" xfId="2" applyFont="1" applyFill="1" applyBorder="1" applyAlignment="1" applyProtection="1">
      <alignment horizontal="center" vertical="center"/>
      <protection hidden="1"/>
    </xf>
    <xf numFmtId="0" fontId="31" fillId="6" borderId="34" xfId="0" applyFont="1" applyFill="1" applyBorder="1" applyAlignment="1" applyProtection="1">
      <alignment horizontal="center" vertical="center"/>
      <protection hidden="1"/>
    </xf>
    <xf numFmtId="0" fontId="31" fillId="0" borderId="40" xfId="0" applyFont="1" applyFill="1" applyBorder="1" applyAlignment="1" applyProtection="1">
      <alignment vertical="center"/>
      <protection hidden="1"/>
    </xf>
    <xf numFmtId="0" fontId="31" fillId="16" borderId="20" xfId="0" applyFont="1" applyFill="1" applyBorder="1" applyAlignment="1" applyProtection="1">
      <alignment horizontal="center" vertical="center"/>
      <protection hidden="1"/>
    </xf>
    <xf numFmtId="0" fontId="31" fillId="16" borderId="50" xfId="0" applyFont="1" applyFill="1" applyBorder="1" applyAlignment="1" applyProtection="1">
      <alignment horizontal="center" vertical="center"/>
      <protection hidden="1"/>
    </xf>
    <xf numFmtId="2" fontId="43" fillId="6" borderId="36" xfId="0" applyNumberFormat="1" applyFont="1" applyFill="1" applyBorder="1" applyAlignment="1" applyProtection="1">
      <alignment horizontal="center" vertical="center"/>
      <protection hidden="1"/>
    </xf>
    <xf numFmtId="0" fontId="32" fillId="16" borderId="76" xfId="0" applyFont="1" applyFill="1" applyBorder="1" applyAlignment="1" applyProtection="1">
      <alignment horizontal="center"/>
      <protection hidden="1"/>
    </xf>
    <xf numFmtId="0" fontId="32" fillId="16" borderId="77" xfId="0" applyFont="1" applyFill="1" applyBorder="1" applyAlignment="1" applyProtection="1">
      <alignment horizontal="center"/>
      <protection hidden="1"/>
    </xf>
    <xf numFmtId="0" fontId="32" fillId="25" borderId="4" xfId="0" applyFont="1" applyFill="1" applyBorder="1" applyAlignment="1" applyProtection="1">
      <alignment horizontal="center" vertical="center" wrapText="1"/>
      <protection hidden="1"/>
    </xf>
    <xf numFmtId="0" fontId="32" fillId="25" borderId="5" xfId="0" applyFont="1" applyFill="1" applyBorder="1" applyAlignment="1" applyProtection="1">
      <alignment horizontal="center" vertical="center"/>
      <protection hidden="1"/>
    </xf>
    <xf numFmtId="168" fontId="32" fillId="25" borderId="58" xfId="0" applyNumberFormat="1" applyFont="1" applyFill="1" applyBorder="1" applyAlignment="1" applyProtection="1">
      <alignment horizontal="center" vertical="center"/>
      <protection hidden="1"/>
    </xf>
    <xf numFmtId="0" fontId="32" fillId="25" borderId="62" xfId="0" applyFont="1" applyFill="1" applyBorder="1" applyAlignment="1" applyProtection="1">
      <alignment horizontal="center" vertical="center"/>
      <protection hidden="1"/>
    </xf>
    <xf numFmtId="0" fontId="32" fillId="25" borderId="71" xfId="4" applyFont="1" applyFill="1" applyBorder="1" applyProtection="1">
      <alignment horizontal="center" vertical="center"/>
      <protection hidden="1"/>
    </xf>
    <xf numFmtId="0" fontId="32" fillId="25" borderId="67" xfId="4" applyFont="1" applyFill="1" applyBorder="1" applyProtection="1">
      <alignment horizontal="center" vertical="center"/>
      <protection hidden="1"/>
    </xf>
    <xf numFmtId="0" fontId="32" fillId="25" borderId="65" xfId="0" applyFont="1" applyFill="1" applyBorder="1" applyAlignment="1" applyProtection="1">
      <alignment horizontal="center" vertical="center"/>
      <protection hidden="1"/>
    </xf>
    <xf numFmtId="164" fontId="32" fillId="25" borderId="5" xfId="0" applyNumberFormat="1" applyFont="1" applyFill="1" applyBorder="1" applyAlignment="1" applyProtection="1">
      <alignment horizontal="center" vertical="center"/>
      <protection hidden="1"/>
    </xf>
    <xf numFmtId="169" fontId="32" fillId="25" borderId="5" xfId="0" applyNumberFormat="1" applyFont="1" applyFill="1" applyBorder="1" applyAlignment="1" applyProtection="1">
      <alignment horizontal="center" vertical="center"/>
      <protection hidden="1"/>
    </xf>
    <xf numFmtId="0" fontId="32" fillId="25" borderId="40" xfId="0" applyFont="1" applyFill="1" applyBorder="1" applyAlignment="1" applyProtection="1">
      <alignment horizontal="center" vertical="center"/>
      <protection hidden="1"/>
    </xf>
    <xf numFmtId="0" fontId="32" fillId="25" borderId="7" xfId="0" applyFont="1" applyFill="1" applyBorder="1" applyAlignment="1" applyProtection="1">
      <alignment horizontal="center" vertical="center" wrapText="1"/>
      <protection hidden="1"/>
    </xf>
    <xf numFmtId="0" fontId="32" fillId="25" borderId="8" xfId="0" applyFont="1" applyFill="1" applyBorder="1" applyAlignment="1" applyProtection="1">
      <alignment horizontal="center" vertical="center"/>
      <protection hidden="1"/>
    </xf>
    <xf numFmtId="168" fontId="32" fillId="25" borderId="38" xfId="0" applyNumberFormat="1" applyFont="1" applyFill="1" applyBorder="1" applyAlignment="1" applyProtection="1">
      <alignment horizontal="center" vertical="center"/>
      <protection hidden="1"/>
    </xf>
    <xf numFmtId="0" fontId="32" fillId="25" borderId="64" xfId="0" applyFont="1" applyFill="1" applyBorder="1" applyAlignment="1" applyProtection="1">
      <alignment horizontal="center" vertical="center"/>
      <protection hidden="1"/>
    </xf>
    <xf numFmtId="0" fontId="32" fillId="25" borderId="73" xfId="4" applyFont="1" applyFill="1" applyBorder="1" applyProtection="1">
      <alignment horizontal="center" vertical="center"/>
      <protection hidden="1"/>
    </xf>
    <xf numFmtId="0" fontId="32" fillId="25" borderId="69" xfId="4" applyFont="1" applyFill="1" applyBorder="1" applyProtection="1">
      <alignment horizontal="center" vertical="center"/>
      <protection hidden="1"/>
    </xf>
    <xf numFmtId="0" fontId="32" fillId="25" borderId="13" xfId="0" applyFont="1" applyFill="1" applyBorder="1" applyAlignment="1" applyProtection="1">
      <alignment horizontal="center" vertical="center"/>
      <protection hidden="1"/>
    </xf>
    <xf numFmtId="164" fontId="32" fillId="25" borderId="8" xfId="0" applyNumberFormat="1" applyFont="1" applyFill="1" applyBorder="1" applyAlignment="1" applyProtection="1">
      <alignment horizontal="center" vertical="center"/>
      <protection hidden="1"/>
    </xf>
    <xf numFmtId="169" fontId="32" fillId="25" borderId="8" xfId="0" applyNumberFormat="1" applyFont="1" applyFill="1" applyBorder="1" applyAlignment="1" applyProtection="1">
      <alignment horizontal="center" vertical="center"/>
      <protection hidden="1"/>
    </xf>
    <xf numFmtId="0" fontId="32" fillId="25" borderId="12" xfId="0" applyFont="1" applyFill="1" applyBorder="1" applyAlignment="1" applyProtection="1">
      <alignment horizontal="center" vertical="center"/>
      <protection hidden="1"/>
    </xf>
    <xf numFmtId="4" fontId="31" fillId="16" borderId="8" xfId="0" applyNumberFormat="1" applyFont="1" applyFill="1" applyBorder="1" applyAlignment="1" applyProtection="1">
      <alignment horizontal="center" vertical="center" wrapText="1"/>
      <protection hidden="1"/>
    </xf>
    <xf numFmtId="2" fontId="31" fillId="16" borderId="8" xfId="0" applyNumberFormat="1" applyFont="1" applyFill="1" applyBorder="1" applyAlignment="1" applyProtection="1">
      <alignment horizontal="center" vertical="center"/>
      <protection hidden="1"/>
    </xf>
    <xf numFmtId="171" fontId="31" fillId="16" borderId="40" xfId="0" applyNumberFormat="1" applyFont="1" applyFill="1" applyBorder="1" applyAlignment="1" applyProtection="1">
      <alignment horizontal="center" vertical="center" wrapText="1"/>
      <protection hidden="1"/>
    </xf>
    <xf numFmtId="171" fontId="31" fillId="16" borderId="43" xfId="0" applyNumberFormat="1" applyFont="1" applyFill="1" applyBorder="1" applyAlignment="1" applyProtection="1">
      <alignment horizontal="center" vertical="center" wrapText="1"/>
      <protection hidden="1"/>
    </xf>
    <xf numFmtId="171" fontId="0" fillId="16" borderId="12" xfId="0" applyNumberFormat="1" applyFill="1" applyBorder="1" applyAlignment="1" applyProtection="1">
      <alignment horizontal="center" vertical="center" wrapText="1"/>
      <protection hidden="1"/>
    </xf>
    <xf numFmtId="0" fontId="31" fillId="16" borderId="60" xfId="0" applyFont="1" applyFill="1" applyBorder="1" applyAlignment="1" applyProtection="1">
      <alignment horizontal="center" vertical="center"/>
      <protection hidden="1"/>
    </xf>
    <xf numFmtId="0" fontId="31" fillId="16" borderId="43" xfId="0" applyFont="1" applyFill="1" applyBorder="1" applyAlignment="1" applyProtection="1">
      <alignment horizontal="center" vertical="center"/>
      <protection hidden="1"/>
    </xf>
    <xf numFmtId="171" fontId="31" fillId="16" borderId="50" xfId="0" applyNumberFormat="1" applyFont="1" applyFill="1" applyBorder="1" applyAlignment="1" applyProtection="1">
      <alignment horizontal="center" vertical="center"/>
      <protection hidden="1"/>
    </xf>
    <xf numFmtId="0" fontId="31" fillId="16" borderId="12" xfId="0" applyFont="1" applyFill="1" applyBorder="1" applyAlignment="1" applyProtection="1">
      <alignment horizontal="center" vertical="center"/>
      <protection hidden="1"/>
    </xf>
    <xf numFmtId="0" fontId="31" fillId="16" borderId="40" xfId="0" applyFont="1" applyFill="1" applyBorder="1" applyAlignment="1" applyProtection="1">
      <alignment horizontal="center" vertical="center"/>
      <protection hidden="1"/>
    </xf>
    <xf numFmtId="178" fontId="31" fillId="16" borderId="5" xfId="0" applyNumberFormat="1" applyFont="1" applyFill="1" applyBorder="1" applyAlignment="1" applyProtection="1">
      <alignment horizontal="center" vertical="center" wrapText="1"/>
      <protection hidden="1"/>
    </xf>
    <xf numFmtId="4" fontId="31" fillId="16" borderId="5" xfId="0" applyNumberFormat="1" applyFont="1" applyFill="1" applyBorder="1" applyAlignment="1" applyProtection="1">
      <alignment horizontal="center" vertical="center" wrapText="1"/>
      <protection hidden="1"/>
    </xf>
    <xf numFmtId="179" fontId="31" fillId="16" borderId="40" xfId="0" applyNumberFormat="1" applyFont="1" applyFill="1" applyBorder="1" applyAlignment="1" applyProtection="1">
      <alignment horizontal="center" vertical="center" wrapText="1"/>
      <protection hidden="1"/>
    </xf>
    <xf numFmtId="178" fontId="31" fillId="16" borderId="40" xfId="0" applyNumberFormat="1" applyFont="1" applyFill="1" applyBorder="1" applyAlignment="1" applyProtection="1">
      <alignment horizontal="center" vertical="center" wrapText="1"/>
      <protection hidden="1"/>
    </xf>
    <xf numFmtId="178" fontId="31" fillId="16" borderId="43" xfId="0" applyNumberFormat="1" applyFont="1" applyFill="1" applyBorder="1" applyAlignment="1" applyProtection="1">
      <alignment horizontal="center" vertical="center" wrapText="1"/>
      <protection hidden="1"/>
    </xf>
    <xf numFmtId="178" fontId="31" fillId="16" borderId="12" xfId="0" applyNumberFormat="1" applyFont="1" applyFill="1" applyBorder="1" applyAlignment="1" applyProtection="1">
      <alignment horizontal="center" vertical="center" wrapText="1"/>
      <protection hidden="1"/>
    </xf>
    <xf numFmtId="171" fontId="31" fillId="16" borderId="40" xfId="0" applyNumberFormat="1" applyFont="1" applyFill="1" applyBorder="1" applyAlignment="1" applyProtection="1">
      <alignment horizontal="center" vertical="center"/>
      <protection hidden="1"/>
    </xf>
    <xf numFmtId="171" fontId="31" fillId="16" borderId="43" xfId="0" applyNumberFormat="1" applyFont="1" applyFill="1" applyBorder="1" applyAlignment="1" applyProtection="1">
      <alignment horizontal="center" vertical="center"/>
      <protection hidden="1"/>
    </xf>
    <xf numFmtId="2" fontId="31" fillId="16" borderId="5" xfId="0" applyNumberFormat="1" applyFont="1" applyFill="1" applyBorder="1" applyAlignment="1" applyProtection="1">
      <alignment horizontal="center" vertical="center"/>
      <protection hidden="1"/>
    </xf>
    <xf numFmtId="171" fontId="31" fillId="16" borderId="12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12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Protection="1"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3" fontId="32" fillId="16" borderId="4" xfId="0" applyNumberFormat="1" applyFont="1" applyFill="1" applyBorder="1" applyAlignment="1" applyProtection="1">
      <alignment horizontal="center" vertical="center"/>
      <protection hidden="1"/>
    </xf>
    <xf numFmtId="3" fontId="32" fillId="16" borderId="5" xfId="0" applyNumberFormat="1" applyFont="1" applyFill="1" applyBorder="1" applyAlignment="1" applyProtection="1">
      <alignment horizontal="center" vertical="center" wrapText="1"/>
      <protection hidden="1"/>
    </xf>
    <xf numFmtId="168" fontId="32" fillId="16" borderId="5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5" xfId="0" applyFont="1" applyFill="1" applyBorder="1" applyAlignment="1" applyProtection="1">
      <alignment horizontal="center" vertical="center" wrapText="1"/>
      <protection hidden="1"/>
    </xf>
    <xf numFmtId="169" fontId="32" fillId="16" borderId="40" xfId="0" applyNumberFormat="1" applyFont="1" applyFill="1" applyBorder="1" applyAlignment="1" applyProtection="1">
      <alignment horizontal="center" vertical="center"/>
      <protection hidden="1"/>
    </xf>
    <xf numFmtId="169" fontId="32" fillId="16" borderId="43" xfId="0" applyNumberFormat="1" applyFont="1" applyFill="1" applyBorder="1" applyAlignment="1" applyProtection="1">
      <alignment horizontal="center" vertical="center"/>
      <protection hidden="1"/>
    </xf>
    <xf numFmtId="169" fontId="32" fillId="16" borderId="12" xfId="0" applyNumberFormat="1" applyFont="1" applyFill="1" applyBorder="1" applyAlignment="1" applyProtection="1">
      <alignment horizontal="center" vertical="center"/>
      <protection hidden="1"/>
    </xf>
    <xf numFmtId="171" fontId="7" fillId="9" borderId="1" xfId="0" applyNumberFormat="1" applyFont="1" applyFill="1" applyBorder="1" applyAlignment="1" applyProtection="1">
      <alignment horizontal="center" vertical="center"/>
      <protection hidden="1"/>
    </xf>
    <xf numFmtId="11" fontId="13" fillId="9" borderId="5" xfId="0" applyNumberFormat="1" applyFont="1" applyFill="1" applyBorder="1" applyAlignment="1" applyProtection="1">
      <alignment horizontal="centerContinuous" vertical="center" wrapText="1"/>
      <protection hidden="1"/>
    </xf>
    <xf numFmtId="180" fontId="31" fillId="0" borderId="42" xfId="0" applyNumberFormat="1" applyFont="1" applyFill="1" applyBorder="1" applyAlignment="1" applyProtection="1">
      <alignment horizontal="center" vertical="center"/>
      <protection hidden="1"/>
    </xf>
    <xf numFmtId="11" fontId="31" fillId="0" borderId="1" xfId="0" applyNumberFormat="1" applyFont="1" applyFill="1" applyBorder="1" applyAlignment="1" applyProtection="1">
      <alignment horizontal="center" vertical="center"/>
      <protection hidden="1"/>
    </xf>
    <xf numFmtId="1" fontId="7" fillId="6" borderId="63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4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5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62" xfId="0" applyNumberFormat="1" applyFont="1" applyFill="1" applyBorder="1" applyAlignment="1" applyProtection="1">
      <alignment horizontal="center" vertical="center"/>
      <protection hidden="1"/>
    </xf>
    <xf numFmtId="2" fontId="7" fillId="21" borderId="36" xfId="0" applyNumberFormat="1" applyFont="1" applyFill="1" applyBorder="1" applyAlignment="1" applyProtection="1">
      <alignment horizontal="center" vertical="center" wrapText="1"/>
      <protection hidden="1"/>
    </xf>
    <xf numFmtId="171" fontId="9" fillId="6" borderId="9" xfId="0" applyNumberFormat="1" applyFont="1" applyFill="1" applyBorder="1" applyAlignment="1" applyProtection="1">
      <alignment horizontal="center" vertical="center"/>
      <protection hidden="1"/>
    </xf>
    <xf numFmtId="171" fontId="9" fillId="6" borderId="10" xfId="0" applyNumberFormat="1" applyFont="1" applyFill="1" applyBorder="1" applyAlignment="1" applyProtection="1">
      <alignment horizontal="center" vertical="center"/>
      <protection hidden="1"/>
    </xf>
    <xf numFmtId="171" fontId="9" fillId="6" borderId="11" xfId="0" applyNumberFormat="1" applyFont="1" applyFill="1" applyBorder="1" applyAlignment="1" applyProtection="1">
      <alignment horizontal="center" vertical="center"/>
      <protection hidden="1"/>
    </xf>
    <xf numFmtId="171" fontId="7" fillId="7" borderId="12" xfId="0" applyNumberFormat="1" applyFont="1" applyFill="1" applyBorder="1" applyAlignment="1" applyProtection="1">
      <alignment horizontal="center" vertical="center"/>
      <protection locked="0" hidden="1"/>
    </xf>
    <xf numFmtId="1" fontId="7" fillId="9" borderId="70" xfId="0" applyNumberFormat="1" applyFont="1" applyFill="1" applyBorder="1" applyAlignment="1" applyProtection="1">
      <alignment horizontal="centerContinuous" vertical="center" wrapText="1"/>
      <protection hidden="1"/>
    </xf>
    <xf numFmtId="0" fontId="26" fillId="21" borderId="36" xfId="0" applyFont="1" applyFill="1" applyBorder="1" applyAlignment="1" applyProtection="1">
      <alignment horizontal="center" vertical="center" wrapText="1"/>
      <protection hidden="1"/>
    </xf>
    <xf numFmtId="0" fontId="45" fillId="21" borderId="4" xfId="0" applyFont="1" applyFill="1" applyBorder="1" applyAlignment="1" applyProtection="1">
      <alignment horizontal="center" vertical="center" wrapText="1"/>
      <protection hidden="1"/>
    </xf>
    <xf numFmtId="0" fontId="46" fillId="21" borderId="5" xfId="0" applyFont="1" applyFill="1" applyBorder="1" applyAlignment="1" applyProtection="1">
      <alignment horizontal="center" vertical="center" wrapText="1"/>
      <protection hidden="1"/>
    </xf>
    <xf numFmtId="0" fontId="45" fillId="21" borderId="4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45" fillId="21" borderId="7" xfId="0" applyFont="1" applyFill="1" applyBorder="1" applyAlignment="1" applyProtection="1">
      <alignment horizontal="center" vertical="center" wrapText="1"/>
      <protection hidden="1"/>
    </xf>
    <xf numFmtId="0" fontId="45" fillId="21" borderId="8" xfId="0" applyFont="1" applyFill="1" applyBorder="1" applyAlignment="1" applyProtection="1">
      <alignment horizontal="center" vertical="center" wrapText="1"/>
      <protection hidden="1"/>
    </xf>
    <xf numFmtId="0" fontId="45" fillId="21" borderId="12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Protection="1">
      <protection hidden="1"/>
    </xf>
    <xf numFmtId="2" fontId="13" fillId="21" borderId="36" xfId="0" applyNumberFormat="1" applyFont="1" applyFill="1" applyBorder="1" applyAlignment="1" applyProtection="1">
      <alignment horizontal="center" vertical="center"/>
      <protection hidden="1"/>
    </xf>
    <xf numFmtId="1" fontId="26" fillId="21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21" borderId="23" xfId="0" applyFont="1" applyFill="1" applyBorder="1" applyAlignment="1" applyProtection="1">
      <alignment horizontal="center" vertical="center" wrapText="1"/>
      <protection hidden="1"/>
    </xf>
    <xf numFmtId="0" fontId="26" fillId="21" borderId="16" xfId="0" applyFont="1" applyFill="1" applyBorder="1" applyAlignment="1" applyProtection="1">
      <alignment horizontal="center" vertical="center" wrapText="1"/>
      <protection hidden="1"/>
    </xf>
    <xf numFmtId="1" fontId="7" fillId="9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16" borderId="1" xfId="0" applyFill="1" applyBorder="1" applyAlignment="1" applyProtection="1">
      <alignment horizontal="center" vertical="center" wrapText="1"/>
      <protection hidden="1"/>
    </xf>
    <xf numFmtId="0" fontId="0" fillId="16" borderId="43" xfId="0" applyFill="1" applyBorder="1" applyAlignment="1" applyProtection="1">
      <alignment horizontal="center" vertical="center" wrapText="1"/>
      <protection hidden="1"/>
    </xf>
    <xf numFmtId="0" fontId="0" fillId="16" borderId="12" xfId="0" applyFill="1" applyBorder="1" applyAlignment="1" applyProtection="1">
      <alignment horizontal="center" vertical="center" wrapText="1"/>
      <protection hidden="1"/>
    </xf>
    <xf numFmtId="0" fontId="31" fillId="16" borderId="43" xfId="0" applyFont="1" applyFill="1" applyBorder="1" applyAlignment="1" applyProtection="1">
      <alignment horizontal="center" vertical="center" wrapText="1"/>
      <protection hidden="1"/>
    </xf>
    <xf numFmtId="0" fontId="31" fillId="16" borderId="40" xfId="0" applyFont="1" applyFill="1" applyBorder="1" applyAlignment="1" applyProtection="1">
      <alignment horizontal="center" vertical="center" wrapText="1"/>
      <protection hidden="1"/>
    </xf>
    <xf numFmtId="0" fontId="31" fillId="24" borderId="22" xfId="0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1" fontId="13" fillId="9" borderId="41" xfId="0" applyNumberFormat="1" applyFont="1" applyFill="1" applyBorder="1" applyAlignment="1" applyProtection="1">
      <alignment horizontal="center" vertical="center"/>
      <protection hidden="1"/>
    </xf>
    <xf numFmtId="171" fontId="16" fillId="3" borderId="49" xfId="0" applyNumberFormat="1" applyFont="1" applyFill="1" applyBorder="1" applyAlignment="1" applyProtection="1">
      <alignment horizontal="center" vertical="center"/>
      <protection hidden="1"/>
    </xf>
    <xf numFmtId="171" fontId="16" fillId="3" borderId="50" xfId="0" applyNumberFormat="1" applyFont="1" applyFill="1" applyBorder="1" applyAlignment="1" applyProtection="1">
      <alignment horizontal="center" vertical="center"/>
      <protection hidden="1"/>
    </xf>
    <xf numFmtId="171" fontId="16" fillId="3" borderId="51" xfId="0" applyNumberFormat="1" applyFont="1" applyFill="1" applyBorder="1" applyAlignment="1" applyProtection="1">
      <alignment horizontal="center" vertical="center"/>
      <protection hidden="1"/>
    </xf>
    <xf numFmtId="171" fontId="7" fillId="0" borderId="0" xfId="0" applyNumberFormat="1" applyFont="1" applyFill="1" applyBorder="1" applyProtection="1">
      <protection hidden="1"/>
    </xf>
    <xf numFmtId="171" fontId="8" fillId="9" borderId="9" xfId="0" applyNumberFormat="1" applyFont="1" applyFill="1" applyBorder="1" applyAlignment="1" applyProtection="1">
      <alignment horizontal="center" vertical="center"/>
      <protection hidden="1"/>
    </xf>
    <xf numFmtId="171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13" fillId="9" borderId="7" xfId="0" applyNumberFormat="1" applyFont="1" applyFill="1" applyBorder="1" applyAlignment="1" applyProtection="1">
      <alignment horizontal="center" vertical="center"/>
      <protection hidden="1"/>
    </xf>
    <xf numFmtId="2" fontId="13" fillId="9" borderId="8" xfId="0" applyNumberFormat="1" applyFont="1" applyFill="1" applyBorder="1" applyAlignment="1" applyProtection="1">
      <alignment horizontal="center" vertical="center"/>
      <protection hidden="1"/>
    </xf>
    <xf numFmtId="2" fontId="13" fillId="9" borderId="12" xfId="0" applyNumberFormat="1" applyFont="1" applyFill="1" applyBorder="1" applyAlignment="1" applyProtection="1">
      <alignment horizontal="center" vertical="center"/>
      <protection hidden="1"/>
    </xf>
    <xf numFmtId="2" fontId="8" fillId="9" borderId="18" xfId="0" applyNumberFormat="1" applyFont="1" applyFill="1" applyBorder="1" applyAlignment="1" applyProtection="1">
      <alignment horizontal="center" vertical="center"/>
      <protection hidden="1"/>
    </xf>
    <xf numFmtId="2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13" fillId="6" borderId="67" xfId="0" applyNumberFormat="1" applyFont="1" applyFill="1" applyBorder="1" applyAlignment="1" applyProtection="1">
      <alignment horizontal="center" vertical="center"/>
      <protection hidden="1"/>
    </xf>
    <xf numFmtId="2" fontId="13" fillId="6" borderId="69" xfId="0" applyNumberFormat="1" applyFont="1" applyFill="1" applyBorder="1" applyAlignment="1" applyProtection="1">
      <alignment horizontal="center" vertical="center"/>
      <protection hidden="1"/>
    </xf>
    <xf numFmtId="2" fontId="13" fillId="6" borderId="67" xfId="0" applyNumberFormat="1" applyFont="1" applyFill="1" applyBorder="1" applyAlignment="1" applyProtection="1">
      <alignment horizontal="centerContinuous" vertical="center"/>
      <protection hidden="1"/>
    </xf>
    <xf numFmtId="2" fontId="13" fillId="6" borderId="6" xfId="0" applyNumberFormat="1" applyFont="1" applyFill="1" applyBorder="1" applyAlignment="1" applyProtection="1">
      <alignment horizontal="centerContinuous" vertical="center"/>
      <protection hidden="1"/>
    </xf>
    <xf numFmtId="11" fontId="13" fillId="9" borderId="50" xfId="0" applyNumberFormat="1" applyFont="1" applyFill="1" applyBorder="1" applyAlignment="1" applyProtection="1">
      <alignment horizontal="centerContinuous" vertical="center" wrapText="1"/>
      <protection hidden="1"/>
    </xf>
    <xf numFmtId="174" fontId="13" fillId="9" borderId="8" xfId="0" applyNumberFormat="1" applyFont="1" applyFill="1" applyBorder="1" applyAlignment="1" applyProtection="1">
      <alignment horizontal="center" vertical="center"/>
      <protection hidden="1"/>
    </xf>
    <xf numFmtId="0" fontId="31" fillId="6" borderId="42" xfId="0" applyNumberFormat="1" applyFont="1" applyFill="1" applyBorder="1" applyAlignment="1" applyProtection="1">
      <alignment horizontal="center" vertical="center"/>
      <protection hidden="1"/>
    </xf>
    <xf numFmtId="0" fontId="6" fillId="6" borderId="43" xfId="0" applyFont="1" applyFill="1" applyBorder="1" applyAlignment="1" applyProtection="1">
      <alignment horizontal="center" vertical="center"/>
      <protection hidden="1"/>
    </xf>
    <xf numFmtId="0" fontId="32" fillId="6" borderId="42" xfId="0" applyFont="1" applyFill="1" applyBorder="1" applyAlignment="1" applyProtection="1">
      <alignment horizontal="center" vertical="center"/>
      <protection hidden="1"/>
    </xf>
    <xf numFmtId="10" fontId="32" fillId="6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45" xfId="0" applyNumberFormat="1" applyFont="1" applyFill="1" applyBorder="1" applyAlignment="1" applyProtection="1">
      <alignment horizontal="center" vertical="center"/>
      <protection locked="0" hidden="1"/>
    </xf>
    <xf numFmtId="1" fontId="7" fillId="6" borderId="9" xfId="0" applyNumberFormat="1" applyFont="1" applyFill="1" applyBorder="1" applyAlignment="1" applyProtection="1">
      <alignment horizontal="center" vertical="center"/>
      <protection hidden="1"/>
    </xf>
    <xf numFmtId="1" fontId="7" fillId="6" borderId="10" xfId="0" applyNumberFormat="1" applyFont="1" applyFill="1" applyBorder="1" applyAlignment="1" applyProtection="1">
      <alignment horizontal="center" vertical="center"/>
      <protection hidden="1"/>
    </xf>
    <xf numFmtId="1" fontId="7" fillId="6" borderId="11" xfId="0" applyNumberFormat="1" applyFont="1" applyFill="1" applyBorder="1" applyAlignment="1" applyProtection="1">
      <alignment horizontal="center" vertical="center"/>
      <protection hidden="1"/>
    </xf>
    <xf numFmtId="2" fontId="8" fillId="6" borderId="8" xfId="0" applyNumberFormat="1" applyFont="1" applyFill="1" applyBorder="1" applyAlignment="1" applyProtection="1">
      <alignment horizontal="center" vertical="center"/>
      <protection hidden="1"/>
    </xf>
    <xf numFmtId="2" fontId="13" fillId="6" borderId="50" xfId="0" applyNumberFormat="1" applyFont="1" applyFill="1" applyBorder="1" applyAlignment="1" applyProtection="1">
      <alignment horizontal="center" vertical="center" wrapText="1"/>
      <protection hidden="1"/>
    </xf>
    <xf numFmtId="174" fontId="13" fillId="9" borderId="11" xfId="0" applyNumberFormat="1" applyFont="1" applyFill="1" applyBorder="1" applyAlignment="1" applyProtection="1">
      <alignment horizontal="center" vertical="center"/>
      <protection hidden="1"/>
    </xf>
    <xf numFmtId="174" fontId="13" fillId="9" borderId="7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protection hidden="1"/>
    </xf>
    <xf numFmtId="0" fontId="29" fillId="0" borderId="0" xfId="0" applyFont="1" applyAlignment="1" applyProtection="1">
      <alignment vertical="center" wrapText="1"/>
      <protection hidden="1"/>
    </xf>
    <xf numFmtId="2" fontId="29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14" fontId="32" fillId="0" borderId="0" xfId="0" applyNumberFormat="1" applyFont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justify" wrapText="1" readingOrder="1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Border="1" applyAlignment="1" applyProtection="1">
      <alignment horizontal="left" vertical="center" wrapText="1"/>
      <protection hidden="1"/>
    </xf>
    <xf numFmtId="0" fontId="31" fillId="0" borderId="0" xfId="0" applyFont="1" applyBorder="1" applyAlignment="1" applyProtection="1">
      <alignment vertical="justify" wrapText="1" readingOrder="1"/>
      <protection hidden="1"/>
    </xf>
    <xf numFmtId="168" fontId="32" fillId="0" borderId="0" xfId="0" applyNumberFormat="1" applyFont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right" vertical="center" wrapText="1"/>
      <protection hidden="1"/>
    </xf>
    <xf numFmtId="0" fontId="32" fillId="2" borderId="0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1" fontId="32" fillId="0" borderId="0" xfId="0" applyNumberFormat="1" applyFont="1" applyBorder="1" applyAlignment="1" applyProtection="1">
      <alignment horizontal="left" vertical="center" wrapText="1"/>
      <protection hidden="1"/>
    </xf>
    <xf numFmtId="171" fontId="32" fillId="0" borderId="0" xfId="0" applyNumberFormat="1" applyFont="1" applyBorder="1" applyAlignment="1" applyProtection="1">
      <alignment horizontal="left" vertical="center" wrapText="1"/>
      <protection hidden="1"/>
    </xf>
    <xf numFmtId="0" fontId="29" fillId="0" borderId="0" xfId="0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2" fontId="32" fillId="0" borderId="0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29" fillId="2" borderId="0" xfId="0" applyFont="1" applyFill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horizontal="left" vertical="center" wrapText="1"/>
      <protection hidden="1"/>
    </xf>
    <xf numFmtId="2" fontId="29" fillId="0" borderId="36" xfId="0" applyNumberFormat="1" applyFont="1" applyBorder="1" applyAlignment="1" applyProtection="1">
      <alignment horizontal="center" vertical="center" wrapText="1"/>
      <protection hidden="1"/>
    </xf>
    <xf numFmtId="1" fontId="29" fillId="0" borderId="16" xfId="0" applyNumberFormat="1" applyFont="1" applyBorder="1" applyAlignment="1" applyProtection="1">
      <alignment horizontal="center" vertical="center" wrapText="1"/>
      <protection hidden="1"/>
    </xf>
    <xf numFmtId="2" fontId="29" fillId="0" borderId="16" xfId="0" applyNumberFormat="1" applyFont="1" applyBorder="1" applyAlignment="1" applyProtection="1">
      <alignment horizontal="center" vertical="center" wrapText="1"/>
      <protection hidden="1"/>
    </xf>
    <xf numFmtId="2" fontId="29" fillId="0" borderId="34" xfId="0" applyNumberFormat="1" applyFont="1" applyBorder="1" applyAlignment="1" applyProtection="1">
      <alignment horizontal="center" vertical="center" wrapText="1"/>
      <protection hidden="1"/>
    </xf>
    <xf numFmtId="2" fontId="29" fillId="0" borderId="23" xfId="0" applyNumberFormat="1" applyFont="1" applyBorder="1" applyAlignment="1" applyProtection="1">
      <alignment horizontal="center" vertical="center" wrapText="1"/>
      <protection hidden="1"/>
    </xf>
    <xf numFmtId="0" fontId="29" fillId="0" borderId="23" xfId="0" applyFont="1" applyBorder="1" applyAlignment="1" applyProtection="1">
      <alignment horizontal="center" vertical="center" wrapText="1"/>
      <protection hidden="1"/>
    </xf>
    <xf numFmtId="1" fontId="32" fillId="0" borderId="4" xfId="0" applyNumberFormat="1" applyFont="1" applyBorder="1" applyAlignment="1" applyProtection="1">
      <alignment horizontal="center" vertical="center" wrapText="1"/>
      <protection hidden="1"/>
    </xf>
    <xf numFmtId="171" fontId="32" fillId="0" borderId="5" xfId="0" applyNumberFormat="1" applyFont="1" applyBorder="1" applyAlignment="1" applyProtection="1">
      <alignment horizontal="center" vertical="center" wrapText="1"/>
      <protection hidden="1"/>
    </xf>
    <xf numFmtId="171" fontId="32" fillId="0" borderId="40" xfId="0" applyNumberFormat="1" applyFont="1" applyBorder="1" applyAlignment="1" applyProtection="1">
      <alignment horizontal="center" vertical="center" wrapText="1"/>
      <protection hidden="1"/>
    </xf>
    <xf numFmtId="1" fontId="32" fillId="0" borderId="42" xfId="0" applyNumberFormat="1" applyFont="1" applyBorder="1" applyAlignment="1" applyProtection="1">
      <alignment horizontal="center" vertical="center" wrapText="1"/>
      <protection hidden="1"/>
    </xf>
    <xf numFmtId="171" fontId="32" fillId="0" borderId="43" xfId="0" applyNumberFormat="1" applyFont="1" applyBorder="1" applyAlignment="1" applyProtection="1">
      <alignment horizontal="center" vertical="center" wrapText="1"/>
      <protection hidden="1"/>
    </xf>
    <xf numFmtId="1" fontId="32" fillId="0" borderId="46" xfId="0" applyNumberFormat="1" applyFont="1" applyBorder="1" applyAlignment="1" applyProtection="1">
      <alignment horizontal="center" vertical="center" wrapText="1"/>
      <protection hidden="1"/>
    </xf>
    <xf numFmtId="171" fontId="32" fillId="0" borderId="33" xfId="0" applyNumberFormat="1" applyFont="1" applyBorder="1" applyAlignment="1" applyProtection="1">
      <alignment horizontal="center" vertical="center" wrapText="1"/>
      <protection hidden="1"/>
    </xf>
    <xf numFmtId="171" fontId="32" fillId="0" borderId="47" xfId="0" applyNumberFormat="1" applyFont="1" applyBorder="1" applyAlignment="1" applyProtection="1">
      <alignment horizontal="center" vertical="center" wrapText="1"/>
      <protection hidden="1"/>
    </xf>
    <xf numFmtId="171" fontId="32" fillId="0" borderId="0" xfId="0" applyNumberFormat="1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 vertical="justify" wrapText="1"/>
      <protection hidden="1"/>
    </xf>
    <xf numFmtId="2" fontId="17" fillId="0" borderId="36" xfId="0" applyNumberFormat="1" applyFont="1" applyBorder="1" applyAlignment="1" applyProtection="1">
      <alignment horizontal="center" vertical="center" wrapText="1"/>
      <protection hidden="1"/>
    </xf>
    <xf numFmtId="1" fontId="17" fillId="0" borderId="36" xfId="0" applyNumberFormat="1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1" fontId="32" fillId="0" borderId="20" xfId="0" applyNumberFormat="1" applyFont="1" applyBorder="1" applyAlignment="1" applyProtection="1">
      <alignment horizontal="center" vertical="center" wrapText="1"/>
      <protection hidden="1"/>
    </xf>
    <xf numFmtId="171" fontId="32" fillId="0" borderId="20" xfId="0" applyNumberFormat="1" applyFont="1" applyBorder="1" applyAlignment="1" applyProtection="1">
      <alignment horizontal="center" vertical="center" wrapText="1"/>
      <protection hidden="1"/>
    </xf>
    <xf numFmtId="2" fontId="17" fillId="21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2" borderId="20" xfId="0" applyNumberFormat="1" applyFont="1" applyFill="1" applyBorder="1" applyAlignment="1" applyProtection="1">
      <alignment horizontal="center" vertical="center" wrapText="1"/>
      <protection hidden="1"/>
    </xf>
    <xf numFmtId="171" fontId="32" fillId="2" borderId="20" xfId="0" applyNumberFormat="1" applyFont="1" applyFill="1" applyBorder="1" applyAlignment="1" applyProtection="1">
      <alignment horizontal="center" vertical="center"/>
      <protection hidden="1"/>
    </xf>
    <xf numFmtId="164" fontId="32" fillId="2" borderId="20" xfId="0" applyNumberFormat="1" applyFont="1" applyFill="1" applyBorder="1" applyAlignment="1" applyProtection="1">
      <alignment horizontal="center" vertical="center"/>
      <protection hidden="1"/>
    </xf>
    <xf numFmtId="169" fontId="32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32" fillId="2" borderId="1" xfId="0" applyNumberFormat="1" applyFont="1" applyFill="1" applyBorder="1" applyAlignment="1" applyProtection="1">
      <alignment horizontal="center" vertical="center"/>
      <protection hidden="1"/>
    </xf>
    <xf numFmtId="1" fontId="32" fillId="0" borderId="0" xfId="0" applyNumberFormat="1" applyFont="1" applyBorder="1" applyAlignment="1" applyProtection="1">
      <alignment horizontal="center" vertical="center" wrapText="1"/>
      <protection hidden="1"/>
    </xf>
    <xf numFmtId="2" fontId="17" fillId="0" borderId="14" xfId="0" applyNumberFormat="1" applyFont="1" applyBorder="1" applyAlignment="1" applyProtection="1">
      <alignment horizontal="center" vertical="center" wrapText="1"/>
      <protection hidden="1"/>
    </xf>
    <xf numFmtId="0" fontId="17" fillId="21" borderId="36" xfId="0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vertical="center" wrapText="1"/>
      <protection hidden="1"/>
    </xf>
    <xf numFmtId="165" fontId="32" fillId="0" borderId="20" xfId="0" applyNumberFormat="1" applyFont="1" applyBorder="1" applyAlignment="1" applyProtection="1">
      <alignment horizontal="center" vertical="center" wrapText="1"/>
      <protection hidden="1"/>
    </xf>
    <xf numFmtId="164" fontId="32" fillId="0" borderId="20" xfId="0" applyNumberFormat="1" applyFont="1" applyBorder="1" applyAlignment="1" applyProtection="1">
      <alignment horizontal="center" vertical="center" wrapText="1"/>
      <protection hidden="1"/>
    </xf>
    <xf numFmtId="169" fontId="32" fillId="0" borderId="1" xfId="0" applyNumberFormat="1" applyFont="1" applyBorder="1" applyAlignment="1" applyProtection="1">
      <alignment horizontal="center" vertical="center" wrapText="1"/>
      <protection hidden="1"/>
    </xf>
    <xf numFmtId="169" fontId="32" fillId="0" borderId="20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2" fontId="51" fillId="2" borderId="82" xfId="0" applyNumberFormat="1" applyFont="1" applyFill="1" applyBorder="1" applyAlignment="1" applyProtection="1">
      <alignment horizontal="center" vertical="center" wrapText="1"/>
      <protection hidden="1"/>
    </xf>
    <xf numFmtId="2" fontId="51" fillId="2" borderId="83" xfId="0" applyNumberFormat="1" applyFont="1" applyFill="1" applyBorder="1" applyAlignment="1" applyProtection="1">
      <alignment horizontal="center" vertical="center" wrapText="1"/>
      <protection hidden="1"/>
    </xf>
    <xf numFmtId="0" fontId="51" fillId="2" borderId="83" xfId="0" applyFont="1" applyFill="1" applyBorder="1" applyAlignment="1" applyProtection="1">
      <alignment horizontal="center" vertical="center" wrapText="1"/>
      <protection hidden="1"/>
    </xf>
    <xf numFmtId="170" fontId="51" fillId="2" borderId="83" xfId="0" applyNumberFormat="1" applyFont="1" applyFill="1" applyBorder="1" applyAlignment="1" applyProtection="1">
      <alignment horizontal="center" vertical="center" wrapText="1"/>
      <protection hidden="1"/>
    </xf>
    <xf numFmtId="0" fontId="51" fillId="2" borderId="84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Border="1" applyProtection="1">
      <protection hidden="1"/>
    </xf>
    <xf numFmtId="0" fontId="52" fillId="0" borderId="0" xfId="0" applyFont="1" applyProtection="1"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justify" wrapText="1"/>
      <protection hidden="1"/>
    </xf>
    <xf numFmtId="0" fontId="32" fillId="0" borderId="36" xfId="0" applyFont="1" applyBorder="1" applyAlignment="1" applyProtection="1">
      <alignment horizontal="left" vertical="center" wrapText="1"/>
      <protection hidden="1"/>
    </xf>
    <xf numFmtId="0" fontId="45" fillId="0" borderId="34" xfId="0" applyFont="1" applyBorder="1" applyAlignment="1" applyProtection="1">
      <alignment horizontal="left" vertical="center" wrapText="1"/>
      <protection hidden="1"/>
    </xf>
    <xf numFmtId="0" fontId="45" fillId="0" borderId="36" xfId="0" applyFont="1" applyBorder="1" applyAlignment="1" applyProtection="1">
      <alignment horizontal="left" vertical="center" wrapText="1"/>
      <protection hidden="1"/>
    </xf>
    <xf numFmtId="11" fontId="32" fillId="0" borderId="0" xfId="0" applyNumberFormat="1" applyFont="1" applyProtection="1">
      <protection hidden="1"/>
    </xf>
    <xf numFmtId="0" fontId="32" fillId="0" borderId="0" xfId="0" applyFont="1" applyAlignment="1" applyProtection="1">
      <alignment vertical="justify" wrapText="1"/>
      <protection hidden="1"/>
    </xf>
    <xf numFmtId="0" fontId="32" fillId="0" borderId="0" xfId="0" applyFont="1" applyAlignment="1" applyProtection="1">
      <alignment horizontal="left" vertical="top" wrapText="1"/>
      <protection hidden="1"/>
    </xf>
    <xf numFmtId="168" fontId="32" fillId="0" borderId="0" xfId="0" applyNumberFormat="1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169" fontId="32" fillId="0" borderId="0" xfId="0" applyNumberFormat="1" applyFont="1" applyBorder="1" applyAlignment="1" applyProtection="1">
      <alignment horizontal="center" vertical="center" wrapText="1"/>
      <protection hidden="1"/>
    </xf>
    <xf numFmtId="0" fontId="48" fillId="0" borderId="37" xfId="0" applyFont="1" applyBorder="1" applyAlignment="1" applyProtection="1">
      <alignment horizontal="left" vertical="center" wrapText="1"/>
      <protection hidden="1"/>
    </xf>
    <xf numFmtId="0" fontId="49" fillId="0" borderId="0" xfId="0" applyFont="1" applyProtection="1"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29" fillId="2" borderId="0" xfId="0" applyFont="1" applyFill="1" applyBorder="1" applyAlignment="1" applyProtection="1">
      <alignment horizontal="left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171" fontId="31" fillId="0" borderId="35" xfId="0" applyNumberFormat="1" applyFont="1" applyBorder="1" applyAlignment="1" applyProtection="1">
      <alignment horizontal="center" vertical="center" wrapText="1"/>
      <protection hidden="1"/>
    </xf>
    <xf numFmtId="171" fontId="31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44" fillId="13" borderId="80" xfId="0" applyFont="1" applyFill="1" applyBorder="1" applyAlignment="1" applyProtection="1">
      <alignment horizontal="center" vertical="center"/>
      <protection hidden="1"/>
    </xf>
    <xf numFmtId="0" fontId="44" fillId="13" borderId="52" xfId="0" applyFont="1" applyFill="1" applyBorder="1" applyAlignment="1" applyProtection="1">
      <alignment horizontal="center" vertical="center"/>
      <protection hidden="1"/>
    </xf>
    <xf numFmtId="0" fontId="44" fillId="13" borderId="52" xfId="0" applyFont="1" applyFill="1" applyBorder="1" applyAlignment="1" applyProtection="1">
      <alignment horizontal="center" vertical="center" wrapText="1"/>
      <protection hidden="1"/>
    </xf>
    <xf numFmtId="0" fontId="44" fillId="13" borderId="60" xfId="0" applyFont="1" applyFill="1" applyBorder="1" applyAlignment="1" applyProtection="1">
      <alignment horizontal="center" vertical="center" wrapText="1"/>
      <protection hidden="1"/>
    </xf>
    <xf numFmtId="0" fontId="31" fillId="16" borderId="1" xfId="0" applyNumberFormat="1" applyFont="1" applyFill="1" applyBorder="1" applyAlignment="1" applyProtection="1">
      <alignment horizontal="center" vertical="center"/>
      <protection locked="0" hidden="1"/>
    </xf>
    <xf numFmtId="168" fontId="31" fillId="16" borderId="1" xfId="0" applyNumberFormat="1" applyFont="1" applyFill="1" applyBorder="1" applyAlignment="1" applyProtection="1">
      <alignment horizontal="center" vertical="center"/>
      <protection locked="0" hidden="1"/>
    </xf>
    <xf numFmtId="0" fontId="31" fillId="16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31" fillId="1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16" borderId="43" xfId="0" applyNumberFormat="1" applyFont="1" applyFill="1" applyBorder="1" applyAlignment="1" applyProtection="1">
      <alignment horizontal="center" vertical="center" wrapText="1"/>
      <protection locked="0" hidden="1"/>
    </xf>
    <xf numFmtId="1" fontId="53" fillId="0" borderId="0" xfId="0" applyNumberFormat="1" applyFont="1" applyBorder="1" applyAlignment="1" applyProtection="1">
      <alignment horizontal="left" vertical="center" wrapText="1"/>
      <protection locked="0" hidden="1"/>
    </xf>
    <xf numFmtId="2" fontId="53" fillId="14" borderId="0" xfId="3" applyFont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hidden="1"/>
    </xf>
    <xf numFmtId="2" fontId="7" fillId="2" borderId="0" xfId="0" applyNumberFormat="1" applyFont="1" applyFill="1" applyBorder="1" applyAlignment="1" applyProtection="1">
      <alignment vertical="center"/>
      <protection locked="0" hidden="1"/>
    </xf>
    <xf numFmtId="171" fontId="29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53" fillId="0" borderId="0" xfId="0" applyNumberFormat="1" applyFont="1" applyBorder="1" applyAlignment="1" applyProtection="1">
      <alignment horizontal="left" vertical="center" wrapText="1"/>
      <protection hidden="1"/>
    </xf>
    <xf numFmtId="2" fontId="53" fillId="14" borderId="0" xfId="3" applyFont="1" applyBorder="1" applyAlignment="1" applyProtection="1">
      <alignment horizontal="center" vertical="center" wrapText="1"/>
      <protection hidden="1"/>
    </xf>
    <xf numFmtId="0" fontId="17" fillId="6" borderId="55" xfId="0" applyFont="1" applyFill="1" applyBorder="1" applyAlignment="1" applyProtection="1">
      <alignment horizontal="center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17" fillId="6" borderId="23" xfId="0" applyFont="1" applyFill="1" applyBorder="1" applyAlignment="1" applyProtection="1">
      <alignment horizontal="center" vertical="center"/>
      <protection hidden="1"/>
    </xf>
    <xf numFmtId="0" fontId="33" fillId="19" borderId="42" xfId="0" applyFont="1" applyFill="1" applyBorder="1" applyAlignment="1" applyProtection="1">
      <alignment horizontal="center" vertical="center"/>
      <protection hidden="1"/>
    </xf>
    <xf numFmtId="0" fontId="33" fillId="19" borderId="1" xfId="0" applyFont="1" applyFill="1" applyBorder="1" applyAlignment="1" applyProtection="1">
      <alignment horizontal="center" vertical="center"/>
      <protection hidden="1"/>
    </xf>
    <xf numFmtId="0" fontId="33" fillId="19" borderId="7" xfId="0" applyFont="1" applyFill="1" applyBorder="1" applyAlignment="1" applyProtection="1">
      <alignment horizontal="center" vertical="center"/>
      <protection hidden="1"/>
    </xf>
    <xf numFmtId="0" fontId="33" fillId="19" borderId="8" xfId="0" applyFont="1" applyFill="1" applyBorder="1" applyAlignment="1" applyProtection="1">
      <alignment horizontal="center" vertical="center"/>
      <protection hidden="1"/>
    </xf>
    <xf numFmtId="0" fontId="31" fillId="19" borderId="1" xfId="0" applyFont="1" applyFill="1" applyBorder="1" applyAlignment="1" applyProtection="1">
      <alignment horizontal="center" vertical="center" wrapText="1"/>
      <protection hidden="1"/>
    </xf>
    <xf numFmtId="0" fontId="0" fillId="19" borderId="1" xfId="0" applyFill="1" applyBorder="1" applyAlignment="1" applyProtection="1">
      <alignment horizontal="center" vertical="center" wrapText="1"/>
      <protection hidden="1"/>
    </xf>
    <xf numFmtId="0" fontId="0" fillId="19" borderId="8" xfId="0" applyFill="1" applyBorder="1" applyAlignment="1" applyProtection="1">
      <alignment horizontal="center" vertical="center" wrapText="1"/>
      <protection hidden="1"/>
    </xf>
    <xf numFmtId="1" fontId="31" fillId="19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19" borderId="1" xfId="0" applyNumberFormat="1" applyFill="1" applyBorder="1" applyAlignment="1" applyProtection="1">
      <alignment horizontal="center" vertical="center" wrapText="1"/>
      <protection hidden="1"/>
    </xf>
    <xf numFmtId="1" fontId="0" fillId="19" borderId="8" xfId="0" applyNumberFormat="1" applyFill="1" applyBorder="1" applyAlignment="1" applyProtection="1">
      <alignment horizontal="center" vertical="center" wrapText="1"/>
      <protection hidden="1"/>
    </xf>
    <xf numFmtId="168" fontId="31" fillId="19" borderId="1" xfId="0" applyNumberFormat="1" applyFont="1" applyFill="1" applyBorder="1" applyAlignment="1" applyProtection="1">
      <alignment horizontal="center" vertical="center" wrapText="1"/>
      <protection hidden="1"/>
    </xf>
    <xf numFmtId="168" fontId="31" fillId="19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19" borderId="43" xfId="0" applyFill="1" applyBorder="1" applyAlignment="1" applyProtection="1">
      <alignment horizontal="center" vertical="center" wrapText="1"/>
      <protection hidden="1"/>
    </xf>
    <xf numFmtId="0" fontId="0" fillId="19" borderId="12" xfId="0" applyFill="1" applyBorder="1" applyAlignment="1" applyProtection="1">
      <alignment horizontal="center" vertical="center" wrapText="1"/>
      <protection hidden="1"/>
    </xf>
    <xf numFmtId="0" fontId="35" fillId="13" borderId="22" xfId="0" applyFont="1" applyFill="1" applyBorder="1" applyAlignment="1" applyProtection="1">
      <alignment horizontal="center" vertical="center"/>
      <protection hidden="1"/>
    </xf>
    <xf numFmtId="0" fontId="35" fillId="13" borderId="32" xfId="0" applyFont="1" applyFill="1" applyBorder="1" applyAlignment="1" applyProtection="1">
      <alignment horizontal="center" vertical="center"/>
      <protection hidden="1"/>
    </xf>
    <xf numFmtId="0" fontId="35" fillId="13" borderId="23" xfId="0" applyFont="1" applyFill="1" applyBorder="1" applyAlignment="1" applyProtection="1">
      <alignment horizontal="center" vertical="center"/>
      <protection hidden="1"/>
    </xf>
    <xf numFmtId="0" fontId="35" fillId="13" borderId="21" xfId="0" applyFont="1" applyFill="1" applyBorder="1" applyAlignment="1" applyProtection="1">
      <alignment horizontal="center" vertical="center"/>
      <protection hidden="1"/>
    </xf>
    <xf numFmtId="0" fontId="35" fillId="13" borderId="41" xfId="0" applyFont="1" applyFill="1" applyBorder="1" applyAlignment="1" applyProtection="1">
      <alignment horizontal="center" vertical="center"/>
      <protection hidden="1"/>
    </xf>
    <xf numFmtId="0" fontId="35" fillId="13" borderId="6" xfId="0" applyFont="1" applyFill="1" applyBorder="1" applyAlignment="1" applyProtection="1">
      <alignment horizontal="center" vertical="center"/>
      <protection hidden="1"/>
    </xf>
    <xf numFmtId="0" fontId="35" fillId="13" borderId="14" xfId="0" applyFont="1" applyFill="1" applyBorder="1" applyAlignment="1" applyProtection="1">
      <alignment horizontal="center" vertical="center"/>
      <protection hidden="1"/>
    </xf>
    <xf numFmtId="0" fontId="35" fillId="13" borderId="15" xfId="0" applyFont="1" applyFill="1" applyBorder="1" applyAlignment="1" applyProtection="1">
      <alignment horizontal="center" vertical="center"/>
      <protection hidden="1"/>
    </xf>
    <xf numFmtId="0" fontId="29" fillId="6" borderId="14" xfId="0" applyFont="1" applyFill="1" applyBorder="1" applyAlignment="1" applyProtection="1">
      <alignment horizontal="center" vertical="center"/>
      <protection hidden="1"/>
    </xf>
    <xf numFmtId="0" fontId="29" fillId="6" borderId="15" xfId="0" applyFont="1" applyFill="1" applyBorder="1" applyAlignment="1" applyProtection="1">
      <alignment horizontal="center" vertical="center"/>
      <protection hidden="1"/>
    </xf>
    <xf numFmtId="0" fontId="29" fillId="6" borderId="16" xfId="0" applyFont="1" applyFill="1" applyBorder="1" applyAlignment="1" applyProtection="1">
      <alignment horizontal="center" vertical="center"/>
      <protection hidden="1"/>
    </xf>
    <xf numFmtId="168" fontId="32" fillId="0" borderId="5" xfId="0" applyNumberFormat="1" applyFont="1" applyBorder="1" applyAlignment="1" applyProtection="1">
      <alignment horizontal="center" vertical="center" wrapText="1"/>
      <protection hidden="1"/>
    </xf>
    <xf numFmtId="168" fontId="32" fillId="0" borderId="1" xfId="0" applyNumberFormat="1" applyFont="1" applyBorder="1" applyAlignment="1" applyProtection="1">
      <alignment horizontal="center" vertical="center" wrapText="1"/>
      <protection hidden="1"/>
    </xf>
    <xf numFmtId="168" fontId="32" fillId="0" borderId="8" xfId="0" applyNumberFormat="1" applyFont="1" applyBorder="1" applyAlignment="1" applyProtection="1">
      <alignment horizontal="center" vertical="center" wrapText="1"/>
      <protection hidden="1"/>
    </xf>
    <xf numFmtId="0" fontId="32" fillId="0" borderId="40" xfId="0" applyFont="1" applyBorder="1" applyAlignment="1" applyProtection="1">
      <alignment horizontal="center" vertical="center" wrapText="1"/>
      <protection hidden="1"/>
    </xf>
    <xf numFmtId="0" fontId="32" fillId="0" borderId="43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3" fontId="31" fillId="18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29" fillId="19" borderId="4" xfId="0" applyFont="1" applyFill="1" applyBorder="1" applyAlignment="1" applyProtection="1">
      <alignment horizontal="center" vertical="center"/>
      <protection hidden="1"/>
    </xf>
    <xf numFmtId="0" fontId="32" fillId="19" borderId="5" xfId="0" applyFont="1" applyFill="1" applyBorder="1" applyAlignment="1" applyProtection="1">
      <alignment horizontal="center" vertical="center"/>
      <protection hidden="1"/>
    </xf>
    <xf numFmtId="0" fontId="32" fillId="19" borderId="42" xfId="0" applyFont="1" applyFill="1" applyBorder="1" applyAlignment="1" applyProtection="1">
      <alignment horizontal="center" vertical="center"/>
      <protection hidden="1"/>
    </xf>
    <xf numFmtId="0" fontId="32" fillId="19" borderId="1" xfId="0" applyFont="1" applyFill="1" applyBorder="1" applyAlignment="1" applyProtection="1">
      <alignment horizontal="center" vertical="center"/>
      <protection hidden="1"/>
    </xf>
    <xf numFmtId="0" fontId="31" fillId="19" borderId="52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32" fillId="19" borderId="8" xfId="0" applyFont="1" applyFill="1" applyBorder="1" applyAlignment="1" applyProtection="1">
      <alignment horizontal="center" vertical="center"/>
      <protection hidden="1"/>
    </xf>
    <xf numFmtId="49" fontId="31" fillId="19" borderId="52" xfId="0" applyNumberFormat="1" applyFont="1" applyFill="1" applyBorder="1" applyAlignment="1" applyProtection="1">
      <alignment horizontal="center" vertical="center" wrapText="1"/>
      <protection hidden="1"/>
    </xf>
    <xf numFmtId="171" fontId="31" fillId="19" borderId="5" xfId="0" applyNumberFormat="1" applyFont="1" applyFill="1" applyBorder="1" applyAlignment="1" applyProtection="1">
      <alignment horizontal="center" vertical="center" wrapText="1"/>
      <protection hidden="1"/>
    </xf>
    <xf numFmtId="171" fontId="0" fillId="19" borderId="1" xfId="0" applyNumberFormat="1" applyFill="1" applyBorder="1" applyAlignment="1" applyProtection="1">
      <alignment horizontal="center" vertical="center" wrapText="1"/>
      <protection hidden="1"/>
    </xf>
    <xf numFmtId="0" fontId="31" fillId="19" borderId="5" xfId="0" applyFont="1" applyFill="1" applyBorder="1" applyAlignment="1" applyProtection="1">
      <alignment horizontal="center" vertical="center" wrapText="1"/>
      <protection hidden="1"/>
    </xf>
    <xf numFmtId="168" fontId="31" fillId="19" borderId="5" xfId="0" applyNumberFormat="1" applyFont="1" applyFill="1" applyBorder="1" applyAlignment="1" applyProtection="1">
      <alignment horizontal="center" vertical="center" wrapText="1"/>
      <protection hidden="1"/>
    </xf>
    <xf numFmtId="168" fontId="31" fillId="19" borderId="40" xfId="0" applyNumberFormat="1" applyFont="1" applyFill="1" applyBorder="1" applyAlignment="1" applyProtection="1">
      <alignment horizontal="center" vertical="center" wrapText="1"/>
      <protection hidden="1"/>
    </xf>
    <xf numFmtId="3" fontId="31" fillId="19" borderId="52" xfId="0" applyNumberFormat="1" applyFont="1" applyFill="1" applyBorder="1" applyAlignment="1" applyProtection="1">
      <alignment horizontal="center" vertical="center" wrapText="1"/>
      <protection hidden="1"/>
    </xf>
    <xf numFmtId="0" fontId="33" fillId="19" borderId="22" xfId="0" applyFont="1" applyFill="1" applyBorder="1" applyAlignment="1" applyProtection="1">
      <alignment horizontal="center" vertical="center"/>
      <protection hidden="1"/>
    </xf>
    <xf numFmtId="0" fontId="33" fillId="19" borderId="23" xfId="0" applyFont="1" applyFill="1" applyBorder="1" applyAlignment="1" applyProtection="1">
      <alignment horizontal="center" vertical="center"/>
      <protection hidden="1"/>
    </xf>
    <xf numFmtId="0" fontId="33" fillId="19" borderId="24" xfId="0" applyFont="1" applyFill="1" applyBorder="1" applyAlignment="1" applyProtection="1">
      <alignment horizontal="center" vertical="center"/>
      <protection hidden="1"/>
    </xf>
    <xf numFmtId="0" fontId="33" fillId="19" borderId="39" xfId="0" applyFont="1" applyFill="1" applyBorder="1" applyAlignment="1" applyProtection="1">
      <alignment horizontal="center" vertical="center"/>
      <protection hidden="1"/>
    </xf>
    <xf numFmtId="0" fontId="33" fillId="19" borderId="21" xfId="0" applyFont="1" applyFill="1" applyBorder="1" applyAlignment="1" applyProtection="1">
      <alignment horizontal="center" vertical="center"/>
      <protection hidden="1"/>
    </xf>
    <xf numFmtId="0" fontId="33" fillId="19" borderId="6" xfId="0" applyFont="1" applyFill="1" applyBorder="1" applyAlignment="1" applyProtection="1">
      <alignment horizontal="center" vertical="center"/>
      <protection hidden="1"/>
    </xf>
    <xf numFmtId="4" fontId="31" fillId="19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19" borderId="33" xfId="0" applyNumberFormat="1" applyFont="1" applyFill="1" applyBorder="1" applyAlignment="1" applyProtection="1">
      <alignment horizontal="center" vertical="center" wrapText="1"/>
      <protection hidden="1"/>
    </xf>
    <xf numFmtId="168" fontId="31" fillId="19" borderId="33" xfId="0" applyNumberFormat="1" applyFont="1" applyFill="1" applyBorder="1" applyAlignment="1" applyProtection="1">
      <alignment horizontal="center" vertical="center" wrapText="1"/>
      <protection hidden="1"/>
    </xf>
    <xf numFmtId="14" fontId="31" fillId="19" borderId="4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29" fillId="19" borderId="22" xfId="0" applyFont="1" applyFill="1" applyBorder="1" applyAlignment="1" applyProtection="1">
      <alignment horizontal="center" vertical="center"/>
      <protection hidden="1"/>
    </xf>
    <xf numFmtId="0" fontId="29" fillId="19" borderId="32" xfId="0" applyFont="1" applyFill="1" applyBorder="1" applyAlignment="1" applyProtection="1">
      <alignment horizontal="center" vertical="center"/>
      <protection hidden="1"/>
    </xf>
    <xf numFmtId="0" fontId="29" fillId="19" borderId="24" xfId="0" applyFont="1" applyFill="1" applyBorder="1" applyAlignment="1" applyProtection="1">
      <alignment horizontal="center" vertical="center"/>
      <protection hidden="1"/>
    </xf>
    <xf numFmtId="0" fontId="29" fillId="19" borderId="0" xfId="0" applyFont="1" applyFill="1" applyBorder="1" applyAlignment="1" applyProtection="1">
      <alignment horizontal="center" vertical="center"/>
      <protection hidden="1"/>
    </xf>
    <xf numFmtId="0" fontId="29" fillId="19" borderId="21" xfId="0" applyFont="1" applyFill="1" applyBorder="1" applyAlignment="1" applyProtection="1">
      <alignment horizontal="center" vertical="center"/>
      <protection hidden="1"/>
    </xf>
    <xf numFmtId="0" fontId="29" fillId="19" borderId="41" xfId="0" applyFont="1" applyFill="1" applyBorder="1" applyAlignment="1" applyProtection="1">
      <alignment horizontal="center" vertical="center"/>
      <protection hidden="1"/>
    </xf>
    <xf numFmtId="0" fontId="31" fillId="19" borderId="59" xfId="0" applyFont="1" applyFill="1" applyBorder="1" applyAlignment="1" applyProtection="1">
      <alignment horizontal="center" vertical="center" wrapText="1"/>
      <protection hidden="1"/>
    </xf>
    <xf numFmtId="0" fontId="31" fillId="19" borderId="54" xfId="0" applyFont="1" applyFill="1" applyBorder="1" applyAlignment="1" applyProtection="1">
      <alignment horizontal="center" vertical="center" wrapText="1"/>
      <protection hidden="1"/>
    </xf>
    <xf numFmtId="0" fontId="31" fillId="19" borderId="49" xfId="0" applyFont="1" applyFill="1" applyBorder="1" applyAlignment="1" applyProtection="1">
      <alignment horizontal="center" vertical="center" wrapText="1"/>
      <protection hidden="1"/>
    </xf>
    <xf numFmtId="0" fontId="33" fillId="19" borderId="32" xfId="0" applyFont="1" applyFill="1" applyBorder="1" applyAlignment="1" applyProtection="1">
      <alignment horizontal="center"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 hidden="1"/>
    </xf>
    <xf numFmtId="0" fontId="33" fillId="19" borderId="41" xfId="0" applyFont="1" applyFill="1" applyBorder="1" applyAlignment="1" applyProtection="1">
      <alignment horizontal="center" vertical="center"/>
      <protection hidden="1"/>
    </xf>
    <xf numFmtId="178" fontId="31" fillId="19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168" fontId="31" fillId="19" borderId="33" xfId="0" applyNumberFormat="1" applyFont="1" applyFill="1" applyBorder="1" applyAlignment="1" applyProtection="1">
      <alignment horizontal="center" vertical="center"/>
      <protection hidden="1"/>
    </xf>
    <xf numFmtId="168" fontId="31" fillId="19" borderId="27" xfId="0" applyNumberFormat="1" applyFont="1" applyFill="1" applyBorder="1" applyAlignment="1" applyProtection="1">
      <alignment horizontal="center" vertical="center"/>
      <protection hidden="1"/>
    </xf>
    <xf numFmtId="168" fontId="31" fillId="19" borderId="50" xfId="0" applyNumberFormat="1" applyFont="1" applyFill="1" applyBorder="1" applyAlignment="1" applyProtection="1">
      <alignment horizontal="center" vertical="center"/>
      <protection hidden="1"/>
    </xf>
    <xf numFmtId="0" fontId="31" fillId="19" borderId="47" xfId="0" applyFont="1" applyFill="1" applyBorder="1" applyAlignment="1" applyProtection="1">
      <alignment horizontal="center" vertical="center"/>
      <protection hidden="1"/>
    </xf>
    <xf numFmtId="0" fontId="31" fillId="19" borderId="53" xfId="0" applyFont="1" applyFill="1" applyBorder="1" applyAlignment="1" applyProtection="1">
      <alignment horizontal="center" vertical="center"/>
      <protection hidden="1"/>
    </xf>
    <xf numFmtId="0" fontId="31" fillId="19" borderId="51" xfId="0" applyFont="1" applyFill="1" applyBorder="1" applyAlignment="1" applyProtection="1">
      <alignment horizontal="center" vertical="center"/>
      <protection hidden="1"/>
    </xf>
    <xf numFmtId="0" fontId="29" fillId="19" borderId="22" xfId="0" applyFont="1" applyFill="1" applyBorder="1" applyAlignment="1" applyProtection="1">
      <alignment horizontal="center" vertical="center" wrapText="1"/>
      <protection hidden="1"/>
    </xf>
    <xf numFmtId="0" fontId="29" fillId="19" borderId="23" xfId="0" applyFont="1" applyFill="1" applyBorder="1" applyAlignment="1" applyProtection="1">
      <alignment horizontal="center" vertical="center" wrapText="1"/>
      <protection hidden="1"/>
    </xf>
    <xf numFmtId="0" fontId="29" fillId="19" borderId="24" xfId="0" applyFont="1" applyFill="1" applyBorder="1" applyAlignment="1" applyProtection="1">
      <alignment horizontal="center" vertical="center" wrapText="1"/>
      <protection hidden="1"/>
    </xf>
    <xf numFmtId="0" fontId="29" fillId="19" borderId="39" xfId="0" applyFont="1" applyFill="1" applyBorder="1" applyAlignment="1" applyProtection="1">
      <alignment horizontal="center" vertical="center" wrapText="1"/>
      <protection hidden="1"/>
    </xf>
    <xf numFmtId="0" fontId="29" fillId="19" borderId="21" xfId="0" applyFont="1" applyFill="1" applyBorder="1" applyAlignment="1" applyProtection="1">
      <alignment horizontal="center" vertical="center" wrapText="1"/>
      <protection hidden="1"/>
    </xf>
    <xf numFmtId="0" fontId="29" fillId="19" borderId="6" xfId="0" applyFont="1" applyFill="1" applyBorder="1" applyAlignment="1" applyProtection="1">
      <alignment horizontal="center" vertical="center" wrapText="1"/>
      <protection hidden="1"/>
    </xf>
    <xf numFmtId="0" fontId="32" fillId="19" borderId="52" xfId="0" applyFont="1" applyFill="1" applyBorder="1" applyAlignment="1" applyProtection="1">
      <alignment horizontal="center" vertical="center" wrapText="1"/>
      <protection hidden="1"/>
    </xf>
    <xf numFmtId="168" fontId="31" fillId="19" borderId="52" xfId="0" applyNumberFormat="1" applyFont="1" applyFill="1" applyBorder="1" applyAlignment="1" applyProtection="1">
      <alignment horizontal="center" vertical="center" wrapText="1"/>
      <protection hidden="1"/>
    </xf>
    <xf numFmtId="0" fontId="31" fillId="19" borderId="60" xfId="0" applyFont="1" applyFill="1" applyBorder="1" applyAlignment="1" applyProtection="1">
      <alignment horizontal="center" vertical="center" wrapText="1"/>
      <protection hidden="1"/>
    </xf>
    <xf numFmtId="168" fontId="31" fillId="19" borderId="52" xfId="0" applyNumberFormat="1" applyFont="1" applyFill="1" applyBorder="1" applyAlignment="1" applyProtection="1">
      <alignment horizontal="center" vertical="center"/>
      <protection hidden="1"/>
    </xf>
    <xf numFmtId="168" fontId="31" fillId="19" borderId="20" xfId="0" applyNumberFormat="1" applyFont="1" applyFill="1" applyBorder="1" applyAlignment="1" applyProtection="1">
      <alignment horizontal="center" vertical="center"/>
      <protection hidden="1"/>
    </xf>
    <xf numFmtId="14" fontId="31" fillId="19" borderId="60" xfId="0" applyNumberFormat="1" applyFont="1" applyFill="1" applyBorder="1" applyAlignment="1" applyProtection="1">
      <alignment horizontal="center" vertical="center"/>
      <protection hidden="1"/>
    </xf>
    <xf numFmtId="14" fontId="31" fillId="19" borderId="53" xfId="0" applyNumberFormat="1" applyFont="1" applyFill="1" applyBorder="1" applyAlignment="1" applyProtection="1">
      <alignment horizontal="center" vertical="center"/>
      <protection hidden="1"/>
    </xf>
    <xf numFmtId="14" fontId="31" fillId="19" borderId="45" xfId="0" applyNumberFormat="1" applyFont="1" applyFill="1" applyBorder="1" applyAlignment="1" applyProtection="1">
      <alignment horizontal="center" vertical="center"/>
      <protection hidden="1"/>
    </xf>
    <xf numFmtId="168" fontId="32" fillId="0" borderId="20" xfId="0" applyNumberFormat="1" applyFont="1" applyBorder="1" applyAlignment="1" applyProtection="1">
      <alignment horizontal="center" vertical="center" wrapText="1"/>
      <protection hidden="1"/>
    </xf>
    <xf numFmtId="0" fontId="32" fillId="0" borderId="45" xfId="0" applyFont="1" applyBorder="1" applyAlignment="1" applyProtection="1">
      <alignment horizontal="center" vertical="center" wrapText="1"/>
      <protection hidden="1"/>
    </xf>
    <xf numFmtId="0" fontId="31" fillId="19" borderId="33" xfId="0" applyFont="1" applyFill="1" applyBorder="1" applyAlignment="1" applyProtection="1">
      <alignment horizontal="center" vertical="center"/>
      <protection hidden="1"/>
    </xf>
    <xf numFmtId="0" fontId="31" fillId="19" borderId="27" xfId="0" applyFont="1" applyFill="1" applyBorder="1" applyAlignment="1" applyProtection="1">
      <alignment horizontal="center" vertical="center"/>
      <protection hidden="1"/>
    </xf>
    <xf numFmtId="0" fontId="31" fillId="19" borderId="20" xfId="0" applyFont="1" applyFill="1" applyBorder="1" applyAlignment="1" applyProtection="1">
      <alignment horizontal="center" vertical="center"/>
      <protection hidden="1"/>
    </xf>
    <xf numFmtId="14" fontId="31" fillId="19" borderId="47" xfId="0" applyNumberFormat="1" applyFont="1" applyFill="1" applyBorder="1" applyAlignment="1" applyProtection="1">
      <alignment horizontal="center" vertical="center"/>
      <protection hidden="1"/>
    </xf>
    <xf numFmtId="0" fontId="32" fillId="19" borderId="23" xfId="0" applyFont="1" applyFill="1" applyBorder="1" applyAlignment="1" applyProtection="1">
      <alignment horizontal="center" vertical="center"/>
      <protection hidden="1"/>
    </xf>
    <xf numFmtId="0" fontId="32" fillId="19" borderId="24" xfId="0" applyFont="1" applyFill="1" applyBorder="1" applyAlignment="1" applyProtection="1">
      <alignment horizontal="center" vertical="center"/>
      <protection hidden="1"/>
    </xf>
    <xf numFmtId="0" fontId="32" fillId="19" borderId="39" xfId="0" applyFont="1" applyFill="1" applyBorder="1" applyAlignment="1" applyProtection="1">
      <alignment horizontal="center" vertical="center"/>
      <protection hidden="1"/>
    </xf>
    <xf numFmtId="0" fontId="32" fillId="19" borderId="21" xfId="0" applyFont="1" applyFill="1" applyBorder="1" applyAlignment="1" applyProtection="1">
      <alignment horizontal="center" vertical="center"/>
      <protection hidden="1"/>
    </xf>
    <xf numFmtId="0" fontId="32" fillId="19" borderId="6" xfId="0" applyFont="1" applyFill="1" applyBorder="1" applyAlignment="1" applyProtection="1">
      <alignment horizontal="center" vertical="center"/>
      <protection hidden="1"/>
    </xf>
    <xf numFmtId="0" fontId="32" fillId="19" borderId="52" xfId="0" applyFont="1" applyFill="1" applyBorder="1" applyAlignment="1" applyProtection="1">
      <alignment horizontal="center" vertical="center"/>
      <protection hidden="1"/>
    </xf>
    <xf numFmtId="0" fontId="32" fillId="19" borderId="27" xfId="0" applyFont="1" applyFill="1" applyBorder="1" applyAlignment="1" applyProtection="1">
      <alignment horizontal="center" vertical="center"/>
      <protection hidden="1"/>
    </xf>
    <xf numFmtId="0" fontId="32" fillId="19" borderId="50" xfId="0" applyFont="1" applyFill="1" applyBorder="1" applyAlignment="1" applyProtection="1">
      <alignment horizontal="center" vertical="center"/>
      <protection hidden="1"/>
    </xf>
    <xf numFmtId="0" fontId="31" fillId="19" borderId="52" xfId="0" applyFont="1" applyFill="1" applyBorder="1" applyAlignment="1" applyProtection="1">
      <alignment horizontal="center" vertical="center"/>
      <protection hidden="1"/>
    </xf>
    <xf numFmtId="0" fontId="31" fillId="19" borderId="50" xfId="0" applyFont="1" applyFill="1" applyBorder="1" applyAlignment="1" applyProtection="1">
      <alignment horizontal="center" vertical="center"/>
      <protection hidden="1"/>
    </xf>
    <xf numFmtId="0" fontId="17" fillId="6" borderId="20" xfId="0" applyFont="1" applyFill="1" applyBorder="1" applyAlignment="1" applyProtection="1">
      <alignment horizontal="center" vertical="center" wrapText="1"/>
      <protection hidden="1"/>
    </xf>
    <xf numFmtId="0" fontId="17" fillId="6" borderId="33" xfId="0" applyFont="1" applyFill="1" applyBorder="1" applyAlignment="1" applyProtection="1">
      <alignment horizontal="center" vertical="center" wrapText="1"/>
      <protection hidden="1"/>
    </xf>
    <xf numFmtId="0" fontId="17" fillId="6" borderId="45" xfId="0" applyFont="1" applyFill="1" applyBorder="1" applyAlignment="1" applyProtection="1">
      <alignment horizontal="center" vertical="center" wrapText="1"/>
      <protection hidden="1"/>
    </xf>
    <xf numFmtId="0" fontId="17" fillId="6" borderId="47" xfId="0" applyFont="1" applyFill="1" applyBorder="1" applyAlignment="1" applyProtection="1">
      <alignment horizontal="center" vertical="center" wrapText="1"/>
      <protection hidden="1"/>
    </xf>
    <xf numFmtId="0" fontId="32" fillId="6" borderId="57" xfId="0" applyFont="1" applyFill="1" applyBorder="1" applyAlignment="1" applyProtection="1">
      <alignment horizontal="center" vertical="center"/>
      <protection hidden="1"/>
    </xf>
    <xf numFmtId="0" fontId="17" fillId="6" borderId="24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39" xfId="0" applyFont="1" applyFill="1" applyBorder="1" applyAlignment="1" applyProtection="1">
      <alignment horizontal="center" vertical="center" wrapText="1"/>
      <protection hidden="1"/>
    </xf>
    <xf numFmtId="0" fontId="17" fillId="6" borderId="18" xfId="0" applyFont="1" applyFill="1" applyBorder="1" applyAlignment="1" applyProtection="1">
      <alignment horizontal="center" vertical="center" wrapText="1"/>
      <protection hidden="1"/>
    </xf>
    <xf numFmtId="0" fontId="17" fillId="6" borderId="29" xfId="0" applyFont="1" applyFill="1" applyBorder="1" applyAlignment="1" applyProtection="1">
      <alignment horizontal="center" vertical="center" wrapText="1"/>
      <protection hidden="1"/>
    </xf>
    <xf numFmtId="0" fontId="32" fillId="0" borderId="34" xfId="0" applyFont="1" applyFill="1" applyBorder="1" applyAlignment="1" applyProtection="1">
      <alignment horizontal="center" vertical="center" wrapText="1"/>
      <protection hidden="1"/>
    </xf>
    <xf numFmtId="0" fontId="32" fillId="0" borderId="57" xfId="0" applyFont="1" applyFill="1" applyBorder="1" applyAlignment="1" applyProtection="1">
      <alignment horizontal="center" vertical="center" wrapText="1"/>
      <protection hidden="1"/>
    </xf>
    <xf numFmtId="0" fontId="32" fillId="0" borderId="35" xfId="0" applyFont="1" applyFill="1" applyBorder="1" applyAlignment="1" applyProtection="1">
      <alignment horizontal="center" vertical="center" wrapText="1"/>
      <protection hidden="1"/>
    </xf>
    <xf numFmtId="0" fontId="33" fillId="13" borderId="22" xfId="0" applyFont="1" applyFill="1" applyBorder="1" applyAlignment="1" applyProtection="1">
      <alignment horizontal="center" vertical="center"/>
      <protection hidden="1"/>
    </xf>
    <xf numFmtId="0" fontId="33" fillId="13" borderId="32" xfId="0" applyFont="1" applyFill="1" applyBorder="1" applyAlignment="1" applyProtection="1">
      <alignment horizontal="center" vertical="center"/>
      <protection hidden="1"/>
    </xf>
    <xf numFmtId="0" fontId="33" fillId="13" borderId="23" xfId="0" applyFont="1" applyFill="1" applyBorder="1" applyAlignment="1" applyProtection="1">
      <alignment horizontal="center" vertical="center"/>
      <protection hidden="1"/>
    </xf>
    <xf numFmtId="0" fontId="33" fillId="13" borderId="21" xfId="0" applyFont="1" applyFill="1" applyBorder="1" applyAlignment="1" applyProtection="1">
      <alignment horizontal="center" vertical="center"/>
      <protection hidden="1"/>
    </xf>
    <xf numFmtId="0" fontId="33" fillId="13" borderId="41" xfId="0" applyFont="1" applyFill="1" applyBorder="1" applyAlignment="1" applyProtection="1">
      <alignment horizontal="center" vertical="center"/>
      <protection hidden="1"/>
    </xf>
    <xf numFmtId="0" fontId="33" fillId="13" borderId="6" xfId="0" applyFont="1" applyFill="1" applyBorder="1" applyAlignment="1" applyProtection="1">
      <alignment horizontal="center" vertical="center"/>
      <protection hidden="1"/>
    </xf>
    <xf numFmtId="0" fontId="33" fillId="13" borderId="14" xfId="0" applyFont="1" applyFill="1" applyBorder="1" applyAlignment="1" applyProtection="1">
      <alignment horizontal="center" vertical="center"/>
      <protection hidden="1"/>
    </xf>
    <xf numFmtId="0" fontId="33" fillId="13" borderId="15" xfId="0" applyFont="1" applyFill="1" applyBorder="1" applyAlignment="1" applyProtection="1">
      <alignment horizontal="center" vertical="center"/>
      <protection hidden="1"/>
    </xf>
    <xf numFmtId="0" fontId="33" fillId="13" borderId="16" xfId="0" applyFont="1" applyFill="1" applyBorder="1" applyAlignment="1" applyProtection="1">
      <alignment horizontal="center" vertical="center"/>
      <protection hidden="1"/>
    </xf>
    <xf numFmtId="0" fontId="17" fillId="6" borderId="44" xfId="0" applyFont="1" applyFill="1" applyBorder="1" applyAlignment="1" applyProtection="1">
      <alignment horizontal="center" vertical="center" wrapText="1"/>
      <protection hidden="1"/>
    </xf>
    <xf numFmtId="0" fontId="17" fillId="6" borderId="46" xfId="0" applyFont="1" applyFill="1" applyBorder="1" applyAlignment="1" applyProtection="1">
      <alignment horizontal="center" vertical="center" wrapText="1"/>
      <protection hidden="1"/>
    </xf>
    <xf numFmtId="0" fontId="31" fillId="0" borderId="34" xfId="0" applyFont="1" applyFill="1" applyBorder="1" applyAlignment="1" applyProtection="1">
      <alignment horizontal="center" vertical="center"/>
      <protection hidden="1"/>
    </xf>
    <xf numFmtId="0" fontId="31" fillId="0" borderId="57" xfId="0" applyFont="1" applyFill="1" applyBorder="1" applyAlignment="1" applyProtection="1">
      <alignment horizontal="center" vertical="center"/>
      <protection hidden="1"/>
    </xf>
    <xf numFmtId="0" fontId="31" fillId="0" borderId="35" xfId="0" applyFont="1" applyFill="1" applyBorder="1" applyAlignment="1" applyProtection="1">
      <alignment horizontal="center" vertical="center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2" fillId="0" borderId="24" xfId="0" applyFont="1" applyFill="1" applyBorder="1" applyAlignment="1" applyProtection="1">
      <alignment horizontal="center" vertical="center" wrapText="1"/>
      <protection hidden="1"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29" fillId="6" borderId="5" xfId="0" applyFont="1" applyFill="1" applyBorder="1" applyAlignment="1" applyProtection="1">
      <alignment horizontal="center" vertical="center" wrapText="1"/>
      <protection hidden="1"/>
    </xf>
    <xf numFmtId="0" fontId="29" fillId="6" borderId="33" xfId="0" applyFont="1" applyFill="1" applyBorder="1" applyAlignment="1" applyProtection="1">
      <alignment horizontal="center" vertical="center" wrapText="1"/>
      <protection hidden="1"/>
    </xf>
    <xf numFmtId="0" fontId="29" fillId="6" borderId="52" xfId="0" applyFont="1" applyFill="1" applyBorder="1" applyAlignment="1" applyProtection="1">
      <alignment horizontal="center" vertical="center" wrapText="1"/>
      <protection hidden="1"/>
    </xf>
    <xf numFmtId="0" fontId="29" fillId="6" borderId="27" xfId="0" applyFont="1" applyFill="1" applyBorder="1" applyAlignment="1" applyProtection="1">
      <alignment horizontal="center" vertical="center" wrapText="1"/>
      <protection hidden="1"/>
    </xf>
    <xf numFmtId="0" fontId="29" fillId="6" borderId="5" xfId="0" applyFont="1" applyFill="1" applyBorder="1" applyAlignment="1" applyProtection="1">
      <alignment horizontal="center" vertical="center"/>
      <protection hidden="1"/>
    </xf>
    <xf numFmtId="0" fontId="29" fillId="6" borderId="33" xfId="0" applyFont="1" applyFill="1" applyBorder="1" applyAlignment="1" applyProtection="1">
      <alignment horizontal="center" vertical="center"/>
      <protection hidden="1"/>
    </xf>
    <xf numFmtId="0" fontId="33" fillId="13" borderId="22" xfId="0" applyFont="1" applyFill="1" applyBorder="1" applyAlignment="1" applyProtection="1">
      <alignment horizontal="center" vertical="center" wrapText="1"/>
      <protection hidden="1"/>
    </xf>
    <xf numFmtId="0" fontId="33" fillId="13" borderId="32" xfId="0" applyFont="1" applyFill="1" applyBorder="1" applyAlignment="1" applyProtection="1">
      <alignment horizontal="center" vertical="center" wrapText="1"/>
      <protection hidden="1"/>
    </xf>
    <xf numFmtId="0" fontId="33" fillId="13" borderId="23" xfId="0" applyFont="1" applyFill="1" applyBorder="1" applyAlignment="1" applyProtection="1">
      <alignment horizontal="center" vertical="center" wrapText="1"/>
      <protection hidden="1"/>
    </xf>
    <xf numFmtId="0" fontId="33" fillId="13" borderId="21" xfId="0" applyFont="1" applyFill="1" applyBorder="1" applyAlignment="1" applyProtection="1">
      <alignment horizontal="center" vertical="center" wrapText="1"/>
      <protection hidden="1"/>
    </xf>
    <xf numFmtId="0" fontId="33" fillId="13" borderId="41" xfId="0" applyFont="1" applyFill="1" applyBorder="1" applyAlignment="1" applyProtection="1">
      <alignment horizontal="center" vertical="center" wrapText="1"/>
      <protection hidden="1"/>
    </xf>
    <xf numFmtId="0" fontId="33" fillId="13" borderId="6" xfId="0" applyFont="1" applyFill="1" applyBorder="1" applyAlignment="1" applyProtection="1">
      <alignment horizontal="center" vertical="center" wrapText="1"/>
      <protection hidden="1"/>
    </xf>
    <xf numFmtId="0" fontId="29" fillId="6" borderId="4" xfId="0" applyFont="1" applyFill="1" applyBorder="1" applyAlignment="1" applyProtection="1">
      <alignment horizontal="center" vertical="center"/>
      <protection hidden="1"/>
    </xf>
    <xf numFmtId="0" fontId="29" fillId="6" borderId="46" xfId="0" applyFont="1" applyFill="1" applyBorder="1" applyAlignment="1" applyProtection="1">
      <alignment horizontal="center" vertical="center"/>
      <protection hidden="1"/>
    </xf>
    <xf numFmtId="0" fontId="29" fillId="6" borderId="58" xfId="0" applyFont="1" applyFill="1" applyBorder="1" applyAlignment="1" applyProtection="1">
      <alignment horizontal="center" vertical="center" wrapText="1"/>
      <protection hidden="1"/>
    </xf>
    <xf numFmtId="0" fontId="29" fillId="6" borderId="26" xfId="0" applyFont="1" applyFill="1" applyBorder="1" applyAlignment="1" applyProtection="1">
      <alignment horizontal="center" vertical="center" wrapText="1"/>
      <protection hidden="1"/>
    </xf>
    <xf numFmtId="0" fontId="32" fillId="6" borderId="40" xfId="0" applyFont="1" applyFill="1" applyBorder="1" applyAlignment="1" applyProtection="1">
      <alignment horizontal="center" vertical="center"/>
      <protection hidden="1"/>
    </xf>
    <xf numFmtId="0" fontId="32" fillId="6" borderId="47" xfId="0" applyFont="1" applyFill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 wrapText="1"/>
      <protection hidden="1"/>
    </xf>
    <xf numFmtId="0" fontId="32" fillId="0" borderId="35" xfId="0" applyFont="1" applyBorder="1" applyAlignment="1" applyProtection="1">
      <alignment horizontal="center" vertical="center" wrapText="1"/>
      <protection hidden="1"/>
    </xf>
    <xf numFmtId="0" fontId="33" fillId="13" borderId="4" xfId="0" applyFont="1" applyFill="1" applyBorder="1" applyAlignment="1" applyProtection="1">
      <alignment horizontal="center" vertical="center" wrapText="1"/>
      <protection hidden="1"/>
    </xf>
    <xf numFmtId="0" fontId="33" fillId="13" borderId="5" xfId="0" applyFont="1" applyFill="1" applyBorder="1" applyAlignment="1" applyProtection="1">
      <alignment horizontal="center" vertical="center" wrapText="1"/>
      <protection hidden="1"/>
    </xf>
    <xf numFmtId="0" fontId="33" fillId="13" borderId="40" xfId="0" applyFont="1" applyFill="1" applyBorder="1" applyAlignment="1" applyProtection="1">
      <alignment horizontal="center" vertical="center" wrapText="1"/>
      <protection hidden="1"/>
    </xf>
    <xf numFmtId="0" fontId="33" fillId="13" borderId="46" xfId="0" applyFont="1" applyFill="1" applyBorder="1" applyAlignment="1" applyProtection="1">
      <alignment horizontal="center" vertical="center" wrapText="1"/>
      <protection hidden="1"/>
    </xf>
    <xf numFmtId="0" fontId="33" fillId="13" borderId="33" xfId="0" applyFont="1" applyFill="1" applyBorder="1" applyAlignment="1" applyProtection="1">
      <alignment horizontal="center" vertical="center" wrapText="1"/>
      <protection hidden="1"/>
    </xf>
    <xf numFmtId="0" fontId="33" fillId="13" borderId="47" xfId="0" applyFont="1" applyFill="1" applyBorder="1" applyAlignment="1" applyProtection="1">
      <alignment horizontal="center" vertical="center" wrapText="1"/>
      <protection hidden="1"/>
    </xf>
    <xf numFmtId="49" fontId="29" fillId="6" borderId="4" xfId="0" applyNumberFormat="1" applyFont="1" applyFill="1" applyBorder="1" applyAlignment="1" applyProtection="1">
      <alignment horizontal="center" vertical="center"/>
      <protection hidden="1"/>
    </xf>
    <xf numFmtId="49" fontId="29" fillId="6" borderId="7" xfId="0" applyNumberFormat="1" applyFont="1" applyFill="1" applyBorder="1" applyAlignment="1" applyProtection="1">
      <alignment horizontal="center" vertical="center"/>
      <protection hidden="1"/>
    </xf>
    <xf numFmtId="49" fontId="29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52" xfId="2" applyNumberFormat="1" applyFont="1" applyFill="1" applyBorder="1" applyAlignment="1" applyProtection="1">
      <alignment horizontal="center" vertical="center"/>
      <protection hidden="1"/>
    </xf>
    <xf numFmtId="49" fontId="8" fillId="6" borderId="50" xfId="2" applyNumberFormat="1" applyFont="1" applyFill="1" applyBorder="1" applyAlignment="1" applyProtection="1">
      <alignment horizontal="center" vertical="center"/>
      <protection hidden="1"/>
    </xf>
    <xf numFmtId="49" fontId="17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17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5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8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0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12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44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6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20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33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5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7" xfId="2" applyNumberFormat="1" applyFont="1" applyFill="1" applyBorder="1" applyAlignment="1" applyProtection="1">
      <alignment horizontal="center" vertical="center" wrapText="1"/>
      <protection hidden="1"/>
    </xf>
    <xf numFmtId="0" fontId="30" fillId="13" borderId="14" xfId="0" applyFont="1" applyFill="1" applyBorder="1" applyAlignment="1" applyProtection="1">
      <alignment horizontal="center" vertical="center"/>
      <protection hidden="1"/>
    </xf>
    <xf numFmtId="0" fontId="30" fillId="13" borderId="15" xfId="0" applyFont="1" applyFill="1" applyBorder="1" applyAlignment="1" applyProtection="1">
      <alignment horizontal="center" vertical="center"/>
      <protection hidden="1"/>
    </xf>
    <xf numFmtId="0" fontId="30" fillId="13" borderId="16" xfId="0" applyFont="1" applyFill="1" applyBorder="1" applyAlignment="1" applyProtection="1">
      <alignment horizontal="center" vertical="center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8" xfId="0" applyNumberFormat="1" applyFont="1" applyFill="1" applyBorder="1" applyAlignment="1" applyProtection="1">
      <alignment horizontal="center" vertical="center"/>
      <protection hidden="1"/>
    </xf>
    <xf numFmtId="0" fontId="17" fillId="6" borderId="22" xfId="0" applyFont="1" applyFill="1" applyBorder="1" applyAlignment="1" applyProtection="1">
      <alignment horizontal="center" vertical="center"/>
      <protection hidden="1"/>
    </xf>
    <xf numFmtId="0" fontId="32" fillId="0" borderId="58" xfId="0" applyFont="1" applyBorder="1" applyAlignment="1" applyProtection="1">
      <alignment horizontal="center"/>
      <protection hidden="1"/>
    </xf>
    <xf numFmtId="0" fontId="32" fillId="0" borderId="65" xfId="0" applyFont="1" applyBorder="1" applyAlignment="1" applyProtection="1">
      <alignment horizontal="center"/>
      <protection hidden="1"/>
    </xf>
    <xf numFmtId="0" fontId="31" fillId="0" borderId="58" xfId="0" applyFont="1" applyFill="1" applyBorder="1" applyAlignment="1" applyProtection="1">
      <alignment horizontal="center" vertical="center"/>
      <protection hidden="1"/>
    </xf>
    <xf numFmtId="0" fontId="31" fillId="0" borderId="65" xfId="0" applyFont="1" applyFill="1" applyBorder="1" applyAlignment="1" applyProtection="1">
      <alignment horizontal="center" vertical="center"/>
      <protection hidden="1"/>
    </xf>
    <xf numFmtId="0" fontId="29" fillId="6" borderId="4" xfId="0" applyFont="1" applyFill="1" applyBorder="1" applyAlignment="1" applyProtection="1">
      <alignment horizontal="center" vertical="center" wrapText="1"/>
      <protection hidden="1"/>
    </xf>
    <xf numFmtId="0" fontId="29" fillId="6" borderId="7" xfId="0" applyFont="1" applyFill="1" applyBorder="1" applyAlignment="1" applyProtection="1">
      <alignment horizontal="center" vertical="center" wrapText="1"/>
      <protection hidden="1"/>
    </xf>
    <xf numFmtId="0" fontId="29" fillId="6" borderId="40" xfId="0" applyFont="1" applyFill="1" applyBorder="1" applyAlignment="1" applyProtection="1">
      <alignment horizontal="center" vertical="center" wrapText="1"/>
      <protection hidden="1"/>
    </xf>
    <xf numFmtId="0" fontId="29" fillId="6" borderId="12" xfId="0" applyFont="1" applyFill="1" applyBorder="1" applyAlignment="1" applyProtection="1">
      <alignment horizontal="center" vertical="center" wrapText="1"/>
      <protection hidden="1"/>
    </xf>
    <xf numFmtId="0" fontId="28" fillId="13" borderId="22" xfId="0" applyFont="1" applyFill="1" applyBorder="1" applyAlignment="1" applyProtection="1">
      <alignment horizontal="center" vertical="center" wrapText="1"/>
      <protection hidden="1"/>
    </xf>
    <xf numFmtId="0" fontId="28" fillId="13" borderId="32" xfId="0" applyFont="1" applyFill="1" applyBorder="1" applyAlignment="1" applyProtection="1">
      <alignment horizontal="center" vertical="center" wrapText="1"/>
      <protection hidden="1"/>
    </xf>
    <xf numFmtId="0" fontId="28" fillId="13" borderId="23" xfId="0" applyFont="1" applyFill="1" applyBorder="1" applyAlignment="1" applyProtection="1">
      <alignment horizontal="center" vertical="center" wrapText="1"/>
      <protection hidden="1"/>
    </xf>
    <xf numFmtId="0" fontId="28" fillId="13" borderId="21" xfId="0" applyFont="1" applyFill="1" applyBorder="1" applyAlignment="1" applyProtection="1">
      <alignment horizontal="center" vertical="center" wrapText="1"/>
      <protection hidden="1"/>
    </xf>
    <xf numFmtId="0" fontId="28" fillId="13" borderId="41" xfId="0" applyFont="1" applyFill="1" applyBorder="1" applyAlignment="1" applyProtection="1">
      <alignment horizontal="center" vertical="center" wrapText="1"/>
      <protection hidden="1"/>
    </xf>
    <xf numFmtId="0" fontId="28" fillId="13" borderId="6" xfId="0" applyFont="1" applyFill="1" applyBorder="1" applyAlignment="1" applyProtection="1">
      <alignment horizontal="center" vertical="center" wrapText="1"/>
      <protection hidden="1"/>
    </xf>
    <xf numFmtId="0" fontId="31" fillId="24" borderId="22" xfId="0" applyFont="1" applyFill="1" applyBorder="1" applyAlignment="1" applyProtection="1">
      <alignment horizontal="center" vertical="center"/>
      <protection hidden="1"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31" fillId="24" borderId="21" xfId="0" applyFont="1" applyFill="1" applyBorder="1" applyAlignment="1" applyProtection="1">
      <alignment horizontal="center" vertical="center"/>
      <protection hidden="1"/>
    </xf>
    <xf numFmtId="0" fontId="29" fillId="6" borderId="40" xfId="0" applyFont="1" applyFill="1" applyBorder="1" applyAlignment="1" applyProtection="1">
      <alignment horizontal="center" vertical="center"/>
      <protection hidden="1"/>
    </xf>
    <xf numFmtId="0" fontId="29" fillId="6" borderId="47" xfId="0" applyFont="1" applyFill="1" applyBorder="1" applyAlignment="1" applyProtection="1">
      <alignment horizontal="center" vertical="center"/>
      <protection hidden="1"/>
    </xf>
    <xf numFmtId="0" fontId="32" fillId="24" borderId="62" xfId="0" applyFont="1" applyFill="1" applyBorder="1" applyAlignment="1" applyProtection="1">
      <alignment horizontal="center" vertical="center" wrapText="1"/>
      <protection hidden="1"/>
    </xf>
    <xf numFmtId="0" fontId="32" fillId="24" borderId="63" xfId="0" applyFont="1" applyFill="1" applyBorder="1" applyAlignment="1" applyProtection="1">
      <alignment horizontal="center" vertical="center" wrapText="1"/>
      <protection hidden="1"/>
    </xf>
    <xf numFmtId="0" fontId="32" fillId="24" borderId="64" xfId="0" applyFont="1" applyFill="1" applyBorder="1" applyAlignment="1" applyProtection="1">
      <alignment horizontal="center" vertical="center" wrapText="1"/>
      <protection hidden="1"/>
    </xf>
    <xf numFmtId="0" fontId="32" fillId="24" borderId="24" xfId="0" applyFont="1" applyFill="1" applyBorder="1" applyAlignment="1" applyProtection="1">
      <alignment horizontal="center" vertical="center" wrapText="1"/>
      <protection hidden="1"/>
    </xf>
    <xf numFmtId="0" fontId="32" fillId="24" borderId="21" xfId="0" applyFont="1" applyFill="1" applyBorder="1" applyAlignment="1" applyProtection="1">
      <alignment horizontal="center" vertical="center" wrapText="1"/>
      <protection hidden="1"/>
    </xf>
    <xf numFmtId="0" fontId="32" fillId="24" borderId="22" xfId="0" applyFont="1" applyFill="1" applyBorder="1" applyAlignment="1" applyProtection="1">
      <alignment horizontal="center" vertical="center" wrapText="1"/>
      <protection hidden="1"/>
    </xf>
    <xf numFmtId="49" fontId="29" fillId="6" borderId="4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7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4" xfId="0" applyNumberFormat="1" applyFont="1" applyFill="1" applyBorder="1" applyAlignment="1" applyProtection="1">
      <alignment horizontal="center" vertical="center"/>
      <protection hidden="1"/>
    </xf>
    <xf numFmtId="49" fontId="29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27" xfId="2" applyNumberFormat="1" applyFont="1" applyFill="1" applyBorder="1" applyAlignment="1" applyProtection="1">
      <alignment horizontal="center" vertical="center"/>
      <protection hidden="1"/>
    </xf>
    <xf numFmtId="49" fontId="29" fillId="6" borderId="50" xfId="2" applyNumberFormat="1" applyFont="1" applyFill="1" applyBorder="1" applyAlignment="1" applyProtection="1">
      <alignment horizontal="center" vertical="center"/>
      <protection hidden="1"/>
    </xf>
    <xf numFmtId="49" fontId="29" fillId="6" borderId="45" xfId="0" applyNumberFormat="1" applyFont="1" applyFill="1" applyBorder="1" applyAlignment="1" applyProtection="1">
      <alignment horizontal="center" vertical="center" wrapText="1"/>
      <protection hidden="1"/>
    </xf>
    <xf numFmtId="3" fontId="31" fillId="16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3" xfId="0" applyFill="1" applyBorder="1" applyAlignment="1" applyProtection="1">
      <alignment horizontal="center" vertical="center" wrapText="1"/>
      <protection hidden="1"/>
    </xf>
    <xf numFmtId="168" fontId="31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1" xfId="0" applyFill="1" applyBorder="1" applyAlignment="1" applyProtection="1">
      <alignment horizontal="center" vertical="center" wrapText="1"/>
      <protection hidden="1"/>
    </xf>
    <xf numFmtId="0" fontId="31" fillId="16" borderId="43" xfId="0" applyFont="1" applyFill="1" applyBorder="1" applyAlignment="1" applyProtection="1">
      <alignment horizontal="center" vertical="center" wrapText="1"/>
      <protection hidden="1"/>
    </xf>
    <xf numFmtId="0" fontId="0" fillId="16" borderId="43" xfId="0" applyFill="1" applyBorder="1" applyAlignment="1" applyProtection="1">
      <alignment horizontal="center" vertical="center" wrapText="1"/>
      <protection hidden="1"/>
    </xf>
    <xf numFmtId="0" fontId="31" fillId="16" borderId="29" xfId="0" applyFont="1" applyFill="1" applyBorder="1" applyAlignment="1" applyProtection="1">
      <alignment horizontal="center" vertical="center"/>
      <protection hidden="1"/>
    </xf>
    <xf numFmtId="0" fontId="31" fillId="16" borderId="30" xfId="0" applyFont="1" applyFill="1" applyBorder="1" applyAlignment="1" applyProtection="1">
      <alignment horizontal="center" vertical="center"/>
      <protection hidden="1"/>
    </xf>
    <xf numFmtId="0" fontId="31" fillId="16" borderId="81" xfId="0" applyFont="1" applyFill="1" applyBorder="1" applyAlignment="1" applyProtection="1">
      <alignment horizontal="center" vertical="center"/>
      <protection hidden="1"/>
    </xf>
    <xf numFmtId="3" fontId="31" fillId="23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23" borderId="31" xfId="0" applyFill="1" applyBorder="1" applyAlignment="1" applyProtection="1">
      <alignment horizontal="center" vertical="center" wrapText="1"/>
      <protection hidden="1"/>
    </xf>
    <xf numFmtId="0" fontId="0" fillId="23" borderId="56" xfId="0" applyFill="1" applyBorder="1" applyAlignment="1" applyProtection="1">
      <alignment horizontal="center" vertical="center" wrapText="1"/>
      <protection hidden="1"/>
    </xf>
    <xf numFmtId="0" fontId="32" fillId="23" borderId="52" xfId="0" applyFont="1" applyFill="1" applyBorder="1" applyAlignment="1" applyProtection="1">
      <alignment horizontal="center" vertical="center"/>
      <protection hidden="1"/>
    </xf>
    <xf numFmtId="0" fontId="32" fillId="23" borderId="27" xfId="0" applyFont="1" applyFill="1" applyBorder="1" applyAlignment="1" applyProtection="1">
      <alignment horizontal="center" vertical="center"/>
      <protection hidden="1"/>
    </xf>
    <xf numFmtId="0" fontId="32" fillId="23" borderId="50" xfId="0" applyFont="1" applyFill="1" applyBorder="1" applyAlignment="1" applyProtection="1">
      <alignment horizontal="center" vertical="center"/>
      <protection hidden="1"/>
    </xf>
    <xf numFmtId="14" fontId="31" fillId="16" borderId="60" xfId="0" applyNumberFormat="1" applyFont="1" applyFill="1" applyBorder="1" applyAlignment="1" applyProtection="1">
      <alignment horizontal="center" vertical="center"/>
      <protection hidden="1"/>
    </xf>
    <xf numFmtId="14" fontId="31" fillId="16" borderId="53" xfId="0" applyNumberFormat="1" applyFont="1" applyFill="1" applyBorder="1" applyAlignment="1" applyProtection="1">
      <alignment horizontal="center" vertical="center"/>
      <protection hidden="1"/>
    </xf>
    <xf numFmtId="14" fontId="31" fillId="16" borderId="45" xfId="0" applyNumberFormat="1" applyFont="1" applyFill="1" applyBorder="1" applyAlignment="1" applyProtection="1">
      <alignment horizontal="center" vertical="center"/>
      <protection hidden="1"/>
    </xf>
    <xf numFmtId="14" fontId="31" fillId="16" borderId="47" xfId="0" applyNumberFormat="1" applyFont="1" applyFill="1" applyBorder="1" applyAlignment="1" applyProtection="1">
      <alignment horizontal="center" vertical="center"/>
      <protection hidden="1"/>
    </xf>
    <xf numFmtId="0" fontId="31" fillId="16" borderId="47" xfId="0" applyFont="1" applyFill="1" applyBorder="1" applyAlignment="1" applyProtection="1">
      <alignment horizontal="center" vertical="center"/>
      <protection hidden="1"/>
    </xf>
    <xf numFmtId="0" fontId="31" fillId="16" borderId="53" xfId="0" applyFont="1" applyFill="1" applyBorder="1" applyAlignment="1" applyProtection="1">
      <alignment horizontal="center" vertical="center"/>
      <protection hidden="1"/>
    </xf>
    <xf numFmtId="0" fontId="31" fillId="16" borderId="51" xfId="0" applyFont="1" applyFill="1" applyBorder="1" applyAlignment="1" applyProtection="1">
      <alignment horizontal="center" vertical="center"/>
      <protection hidden="1"/>
    </xf>
    <xf numFmtId="168" fontId="31" fillId="16" borderId="52" xfId="0" applyNumberFormat="1" applyFont="1" applyFill="1" applyBorder="1" applyAlignment="1" applyProtection="1">
      <alignment horizontal="center" vertical="center"/>
      <protection hidden="1"/>
    </xf>
    <xf numFmtId="168" fontId="31" fillId="16" borderId="27" xfId="0" applyNumberFormat="1" applyFont="1" applyFill="1" applyBorder="1" applyAlignment="1" applyProtection="1">
      <alignment horizontal="center" vertical="center"/>
      <protection hidden="1"/>
    </xf>
    <xf numFmtId="168" fontId="31" fillId="16" borderId="20" xfId="0" applyNumberFormat="1" applyFont="1" applyFill="1" applyBorder="1" applyAlignment="1" applyProtection="1">
      <alignment horizontal="center" vertical="center"/>
      <protection hidden="1"/>
    </xf>
    <xf numFmtId="0" fontId="31" fillId="16" borderId="80" xfId="0" applyFont="1" applyFill="1" applyBorder="1" applyAlignment="1" applyProtection="1">
      <alignment horizontal="center" vertical="center"/>
      <protection hidden="1"/>
    </xf>
    <xf numFmtId="0" fontId="31" fillId="16" borderId="18" xfId="0" applyFont="1" applyFill="1" applyBorder="1" applyAlignment="1" applyProtection="1">
      <alignment horizontal="center" vertical="center"/>
      <protection hidden="1"/>
    </xf>
    <xf numFmtId="168" fontId="31" fillId="16" borderId="33" xfId="0" applyNumberFormat="1" applyFont="1" applyFill="1" applyBorder="1" applyAlignment="1" applyProtection="1">
      <alignment horizontal="center" vertical="center"/>
      <protection hidden="1"/>
    </xf>
    <xf numFmtId="168" fontId="31" fillId="16" borderId="50" xfId="0" applyNumberFormat="1" applyFont="1" applyFill="1" applyBorder="1" applyAlignment="1" applyProtection="1">
      <alignment horizontal="center" vertical="center"/>
      <protection hidden="1"/>
    </xf>
    <xf numFmtId="0" fontId="31" fillId="16" borderId="65" xfId="0" applyFont="1" applyFill="1" applyBorder="1" applyAlignment="1" applyProtection="1">
      <alignment horizontal="center" vertical="center" wrapText="1"/>
      <protection hidden="1"/>
    </xf>
    <xf numFmtId="168" fontId="31" fillId="16" borderId="5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3" xfId="0" applyFont="1" applyFill="1" applyBorder="1" applyAlignment="1" applyProtection="1">
      <alignment horizontal="center" vertical="center" wrapText="1"/>
      <protection hidden="1"/>
    </xf>
    <xf numFmtId="0" fontId="0" fillId="16" borderId="13" xfId="0" applyFill="1" applyBorder="1" applyAlignment="1" applyProtection="1">
      <alignment horizontal="center" vertical="center" wrapText="1"/>
      <protection hidden="1"/>
    </xf>
    <xf numFmtId="0" fontId="0" fillId="16" borderId="8" xfId="0" applyFill="1" applyBorder="1" applyAlignment="1" applyProtection="1">
      <alignment horizontal="center" vertical="center" wrapText="1"/>
      <protection hidden="1"/>
    </xf>
    <xf numFmtId="0" fontId="31" fillId="16" borderId="40" xfId="0" applyFont="1" applyFill="1" applyBorder="1" applyAlignment="1" applyProtection="1">
      <alignment horizontal="center" vertical="center" wrapText="1"/>
      <protection hidden="1"/>
    </xf>
    <xf numFmtId="171" fontId="31" fillId="16" borderId="3" xfId="0" applyNumberFormat="1" applyFont="1" applyFill="1" applyBorder="1" applyAlignment="1" applyProtection="1">
      <alignment horizontal="center" vertical="center" wrapText="1"/>
      <protection hidden="1"/>
    </xf>
    <xf numFmtId="171" fontId="0" fillId="16" borderId="3" xfId="0" applyNumberFormat="1" applyFill="1" applyBorder="1" applyAlignment="1" applyProtection="1">
      <alignment horizontal="center" vertical="center" wrapText="1"/>
      <protection hidden="1"/>
    </xf>
    <xf numFmtId="168" fontId="31" fillId="16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12" xfId="0" applyFill="1" applyBorder="1" applyAlignment="1" applyProtection="1">
      <alignment horizontal="center" vertical="center" wrapText="1"/>
      <protection hidden="1"/>
    </xf>
    <xf numFmtId="171" fontId="31" fillId="16" borderId="65" xfId="0" applyNumberFormat="1" applyFont="1" applyFill="1" applyBorder="1" applyAlignment="1" applyProtection="1">
      <alignment horizontal="center" vertical="center" wrapText="1"/>
      <protection hidden="1"/>
    </xf>
    <xf numFmtId="1" fontId="31" fillId="16" borderId="3" xfId="0" applyNumberFormat="1" applyFont="1" applyFill="1" applyBorder="1" applyAlignment="1" applyProtection="1">
      <alignment horizontal="center" vertical="center" wrapText="1"/>
      <protection hidden="1"/>
    </xf>
    <xf numFmtId="1" fontId="0" fillId="16" borderId="3" xfId="0" applyNumberFormat="1" applyFill="1" applyBorder="1" applyAlignment="1" applyProtection="1">
      <alignment horizontal="center" vertical="center" wrapText="1"/>
      <protection hidden="1"/>
    </xf>
    <xf numFmtId="1" fontId="0" fillId="16" borderId="13" xfId="0" applyNumberFormat="1" applyFill="1" applyBorder="1" applyAlignment="1" applyProtection="1">
      <alignment horizontal="center" vertical="center" wrapText="1"/>
      <protection hidden="1"/>
    </xf>
    <xf numFmtId="0" fontId="6" fillId="6" borderId="40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14" fontId="31" fillId="16" borderId="43" xfId="0" applyNumberFormat="1" applyFont="1" applyFill="1" applyBorder="1" applyAlignment="1" applyProtection="1">
      <alignment horizontal="center" vertical="center" wrapText="1"/>
      <protection hidden="1"/>
    </xf>
    <xf numFmtId="49" fontId="31" fillId="23" borderId="55" xfId="0" applyNumberFormat="1" applyFont="1" applyFill="1" applyBorder="1" applyAlignment="1" applyProtection="1">
      <alignment horizontal="center" vertical="center" wrapText="1"/>
      <protection hidden="1"/>
    </xf>
    <xf numFmtId="0" fontId="28" fillId="13" borderId="22" xfId="0" applyFont="1" applyFill="1" applyBorder="1" applyAlignment="1" applyProtection="1">
      <alignment horizontal="center" vertical="center"/>
      <protection hidden="1"/>
    </xf>
    <xf numFmtId="0" fontId="28" fillId="13" borderId="32" xfId="0" applyFont="1" applyFill="1" applyBorder="1" applyAlignment="1" applyProtection="1">
      <alignment horizontal="center" vertical="center"/>
      <protection hidden="1"/>
    </xf>
    <xf numFmtId="0" fontId="28" fillId="13" borderId="23" xfId="0" applyFont="1" applyFill="1" applyBorder="1" applyAlignment="1" applyProtection="1">
      <alignment horizontal="center" vertical="center"/>
      <protection hidden="1"/>
    </xf>
    <xf numFmtId="0" fontId="28" fillId="13" borderId="21" xfId="0" applyFont="1" applyFill="1" applyBorder="1" applyAlignment="1" applyProtection="1">
      <alignment horizontal="center" vertical="center"/>
      <protection hidden="1"/>
    </xf>
    <xf numFmtId="0" fontId="28" fillId="13" borderId="41" xfId="0" applyFont="1" applyFill="1" applyBorder="1" applyAlignment="1" applyProtection="1">
      <alignment horizontal="center" vertical="center"/>
      <protection hidden="1"/>
    </xf>
    <xf numFmtId="0" fontId="28" fillId="13" borderId="6" xfId="0" applyFont="1" applyFill="1" applyBorder="1" applyAlignment="1" applyProtection="1">
      <alignment horizontal="center" vertical="center"/>
      <protection hidden="1"/>
    </xf>
    <xf numFmtId="0" fontId="28" fillId="13" borderId="14" xfId="0" applyFont="1" applyFill="1" applyBorder="1" applyAlignment="1" applyProtection="1">
      <alignment horizontal="center" vertical="center"/>
      <protection hidden="1"/>
    </xf>
    <xf numFmtId="0" fontId="28" fillId="13" borderId="15" xfId="0" applyFont="1" applyFill="1" applyBorder="1" applyAlignment="1" applyProtection="1">
      <alignment horizontal="center" vertical="center"/>
      <protection hidden="1"/>
    </xf>
    <xf numFmtId="0" fontId="28" fillId="13" borderId="16" xfId="0" applyFont="1" applyFill="1" applyBorder="1" applyAlignment="1" applyProtection="1">
      <alignment horizontal="center" vertical="center"/>
      <protection hidden="1"/>
    </xf>
    <xf numFmtId="0" fontId="45" fillId="21" borderId="14" xfId="0" applyFont="1" applyFill="1" applyBorder="1" applyAlignment="1" applyProtection="1">
      <alignment horizontal="center" vertical="center" wrapText="1"/>
      <protection hidden="1"/>
    </xf>
    <xf numFmtId="0" fontId="45" fillId="21" borderId="15" xfId="0" applyFont="1" applyFill="1" applyBorder="1" applyAlignment="1" applyProtection="1">
      <alignment horizontal="center" vertical="center" wrapText="1"/>
      <protection hidden="1"/>
    </xf>
    <xf numFmtId="0" fontId="45" fillId="21" borderId="16" xfId="0" applyFont="1" applyFill="1" applyBorder="1" applyAlignment="1" applyProtection="1">
      <alignment horizontal="center" vertical="center" wrapText="1"/>
      <protection hidden="1"/>
    </xf>
    <xf numFmtId="1" fontId="5" fillId="14" borderId="34" xfId="3" applyNumberFormat="1" applyFont="1" applyBorder="1" applyAlignment="1" applyProtection="1">
      <alignment horizontal="center" vertical="center" wrapText="1"/>
      <protection locked="0" hidden="1"/>
    </xf>
    <xf numFmtId="1" fontId="5" fillId="14" borderId="35" xfId="3" applyNumberFormat="1" applyFont="1" applyBorder="1" applyAlignment="1" applyProtection="1">
      <alignment horizontal="center" vertical="center" wrapText="1"/>
      <protection locked="0"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2" fontId="7" fillId="0" borderId="23" xfId="0" applyNumberFormat="1" applyFont="1" applyBorder="1" applyAlignment="1" applyProtection="1">
      <alignment horizontal="center"/>
      <protection hidden="1"/>
    </xf>
    <xf numFmtId="2" fontId="7" fillId="0" borderId="24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" fontId="7" fillId="0" borderId="6" xfId="0" applyNumberFormat="1" applyFont="1" applyBorder="1" applyAlignment="1" applyProtection="1">
      <alignment horizontal="center"/>
      <protection hidden="1"/>
    </xf>
    <xf numFmtId="2" fontId="28" fillId="3" borderId="14" xfId="0" applyNumberFormat="1" applyFont="1" applyFill="1" applyBorder="1" applyAlignment="1" applyProtection="1">
      <alignment horizontal="center" vertical="center"/>
      <protection hidden="1"/>
    </xf>
    <xf numFmtId="2" fontId="28" fillId="3" borderId="15" xfId="0" applyNumberFormat="1" applyFont="1" applyFill="1" applyBorder="1" applyAlignment="1" applyProtection="1">
      <alignment horizontal="center" vertical="center"/>
      <protection hidden="1"/>
    </xf>
    <xf numFmtId="2" fontId="28" fillId="3" borderId="16" xfId="0" applyNumberFormat="1" applyFont="1" applyFill="1" applyBorder="1" applyAlignment="1" applyProtection="1">
      <alignment horizontal="center" vertical="center"/>
      <protection hidden="1"/>
    </xf>
    <xf numFmtId="2" fontId="9" fillId="6" borderId="59" xfId="0" applyNumberFormat="1" applyFont="1" applyFill="1" applyBorder="1" applyAlignment="1" applyProtection="1">
      <alignment horizontal="center" vertical="center"/>
      <protection hidden="1"/>
    </xf>
    <xf numFmtId="2" fontId="9" fillId="6" borderId="52" xfId="0" applyNumberFormat="1" applyFont="1" applyFill="1" applyBorder="1" applyAlignment="1" applyProtection="1">
      <alignment horizontal="center" vertical="center"/>
      <protection hidden="1"/>
    </xf>
    <xf numFmtId="2" fontId="9" fillId="6" borderId="60" xfId="0" applyNumberFormat="1" applyFont="1" applyFill="1" applyBorder="1" applyAlignment="1" applyProtection="1">
      <alignment horizontal="center" vertical="center"/>
      <protection hidden="1"/>
    </xf>
    <xf numFmtId="2" fontId="8" fillId="6" borderId="42" xfId="2" applyNumberFormat="1" applyFont="1" applyFill="1" applyBorder="1" applyAlignment="1" applyProtection="1">
      <alignment horizontal="center" vertical="center"/>
      <protection hidden="1"/>
    </xf>
    <xf numFmtId="2" fontId="8" fillId="6" borderId="2" xfId="2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40" xfId="0" applyNumberFormat="1" applyFont="1" applyFill="1" applyBorder="1" applyAlignment="1" applyProtection="1">
      <alignment horizontal="center" vertical="center"/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2" fontId="8" fillId="6" borderId="4" xfId="2" applyNumberFormat="1" applyFont="1" applyFill="1" applyBorder="1" applyAlignment="1" applyProtection="1">
      <alignment horizontal="center" vertical="center"/>
      <protection hidden="1"/>
    </xf>
    <xf numFmtId="2" fontId="8" fillId="6" borderId="5" xfId="2" applyNumberFormat="1" applyFont="1" applyFill="1" applyBorder="1" applyAlignment="1" applyProtection="1">
      <alignment horizontal="center" vertical="center"/>
      <protection hidden="1"/>
    </xf>
    <xf numFmtId="2" fontId="8" fillId="6" borderId="1" xfId="2" applyNumberFormat="1" applyFont="1" applyFill="1" applyBorder="1" applyAlignment="1" applyProtection="1">
      <alignment horizontal="center" vertical="center"/>
      <protection hidden="1"/>
    </xf>
    <xf numFmtId="2" fontId="7" fillId="9" borderId="2" xfId="0" applyNumberFormat="1" applyFont="1" applyFill="1" applyBorder="1" applyAlignment="1" applyProtection="1">
      <alignment horizontal="center" vertical="center"/>
      <protection hidden="1"/>
    </xf>
    <xf numFmtId="2" fontId="7" fillId="9" borderId="68" xfId="0" applyNumberFormat="1" applyFont="1" applyFill="1" applyBorder="1" applyAlignment="1" applyProtection="1">
      <alignment horizontal="center" vertical="center"/>
      <protection hidden="1"/>
    </xf>
    <xf numFmtId="168" fontId="7" fillId="9" borderId="2" xfId="0" applyNumberFormat="1" applyFont="1" applyFill="1" applyBorder="1" applyAlignment="1" applyProtection="1">
      <alignment horizontal="center" vertical="center"/>
      <protection hidden="1"/>
    </xf>
    <xf numFmtId="168" fontId="7" fillId="9" borderId="68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1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7" fillId="3" borderId="7" xfId="0" applyFont="1" applyFill="1" applyBorder="1" applyAlignment="1" applyProtection="1">
      <alignment horizontal="center" vertical="center" wrapText="1"/>
      <protection hidden="1"/>
    </xf>
    <xf numFmtId="0" fontId="37" fillId="3" borderId="8" xfId="0" applyFont="1" applyFill="1" applyBorder="1" applyAlignment="1" applyProtection="1">
      <alignment horizontal="center" vertical="center" wrapText="1"/>
      <protection hidden="1"/>
    </xf>
    <xf numFmtId="2" fontId="8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/>
      <protection locked="0" hidden="1"/>
    </xf>
    <xf numFmtId="2" fontId="8" fillId="6" borderId="1" xfId="2" applyNumberFormat="1" applyFont="1" applyFill="1" applyBorder="1" applyAlignment="1" applyProtection="1">
      <alignment horizontal="center" vertical="center"/>
      <protection locked="0" hidden="1"/>
    </xf>
    <xf numFmtId="2" fontId="40" fillId="6" borderId="7" xfId="0" applyNumberFormat="1" applyFont="1" applyFill="1" applyBorder="1" applyAlignment="1" applyProtection="1">
      <alignment horizontal="left" vertical="center" wrapText="1"/>
      <protection hidden="1"/>
    </xf>
    <xf numFmtId="2" fontId="40" fillId="6" borderId="8" xfId="0" applyNumberFormat="1" applyFont="1" applyFill="1" applyBorder="1" applyAlignment="1" applyProtection="1">
      <alignment horizontal="left" vertical="center" wrapText="1"/>
      <protection hidden="1"/>
    </xf>
    <xf numFmtId="2" fontId="8" fillId="6" borderId="63" xfId="2" applyNumberFormat="1" applyFont="1" applyFill="1" applyBorder="1" applyAlignment="1" applyProtection="1">
      <alignment horizontal="center" vertical="center"/>
      <protection hidden="1"/>
    </xf>
    <xf numFmtId="2" fontId="8" fillId="6" borderId="3" xfId="2" applyNumberFormat="1" applyFont="1" applyFill="1" applyBorder="1" applyAlignment="1" applyProtection="1">
      <alignment horizontal="center" vertical="center"/>
      <protection hidden="1"/>
    </xf>
    <xf numFmtId="2" fontId="8" fillId="6" borderId="6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" xfId="2" applyNumberFormat="1" applyFont="1" applyFill="1" applyBorder="1" applyAlignment="1" applyProtection="1">
      <alignment horizontal="center" vertical="center" wrapText="1"/>
      <protection hidden="1"/>
    </xf>
    <xf numFmtId="2" fontId="13" fillId="6" borderId="63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8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61" xfId="0" applyFont="1" applyFill="1" applyBorder="1" applyAlignment="1" applyProtection="1">
      <alignment horizontal="center"/>
      <protection hidden="1"/>
    </xf>
    <xf numFmtId="0" fontId="9" fillId="6" borderId="78" xfId="0" applyFont="1" applyFill="1" applyBorder="1" applyAlignment="1" applyProtection="1">
      <alignment horizontal="center"/>
      <protection hidden="1"/>
    </xf>
    <xf numFmtId="0" fontId="9" fillId="6" borderId="19" xfId="0" applyFont="1" applyFill="1" applyBorder="1" applyAlignment="1" applyProtection="1">
      <alignment horizontal="center"/>
      <protection hidden="1"/>
    </xf>
    <xf numFmtId="2" fontId="28" fillId="3" borderId="21" xfId="0" applyNumberFormat="1" applyFont="1" applyFill="1" applyBorder="1" applyAlignment="1" applyProtection="1">
      <alignment horizontal="center" vertical="center"/>
      <protection hidden="1"/>
    </xf>
    <xf numFmtId="2" fontId="28" fillId="3" borderId="41" xfId="0" applyNumberFormat="1" applyFont="1" applyFill="1" applyBorder="1" applyAlignment="1" applyProtection="1">
      <alignment horizontal="center" vertical="center"/>
      <protection hidden="1"/>
    </xf>
    <xf numFmtId="2" fontId="28" fillId="3" borderId="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/>
      <protection hidden="1"/>
    </xf>
    <xf numFmtId="2" fontId="7" fillId="6" borderId="69" xfId="0" applyNumberFormat="1" applyFont="1" applyFill="1" applyBorder="1" applyAlignment="1" applyProtection="1">
      <alignment horizontal="center"/>
      <protection hidden="1"/>
    </xf>
    <xf numFmtId="2" fontId="7" fillId="6" borderId="9" xfId="0" applyNumberFormat="1" applyFont="1" applyFill="1" applyBorder="1" applyAlignment="1" applyProtection="1">
      <alignment horizontal="center"/>
      <protection hidden="1"/>
    </xf>
    <xf numFmtId="2" fontId="7" fillId="6" borderId="10" xfId="0" applyNumberFormat="1" applyFont="1" applyFill="1" applyBorder="1" applyAlignment="1" applyProtection="1">
      <alignment horizontal="center"/>
      <protection hidden="1"/>
    </xf>
    <xf numFmtId="2" fontId="7" fillId="6" borderId="11" xfId="0" applyNumberFormat="1" applyFont="1" applyFill="1" applyBorder="1" applyAlignment="1" applyProtection="1">
      <alignment horizontal="center"/>
      <protection hidden="1"/>
    </xf>
    <xf numFmtId="2" fontId="13" fillId="6" borderId="6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1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2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0" xfId="0" applyNumberFormat="1" applyFont="1" applyFill="1" applyBorder="1" applyAlignment="1" applyProtection="1">
      <alignment horizontal="left" vertical="center" wrapText="1"/>
      <protection hidden="1"/>
    </xf>
    <xf numFmtId="2" fontId="7" fillId="6" borderId="78" xfId="0" applyNumberFormat="1" applyFont="1" applyFill="1" applyBorder="1" applyAlignment="1" applyProtection="1">
      <alignment horizontal="center"/>
      <protection hidden="1"/>
    </xf>
    <xf numFmtId="2" fontId="7" fillId="6" borderId="67" xfId="0" applyNumberFormat="1" applyFont="1" applyFill="1" applyBorder="1" applyAlignment="1" applyProtection="1">
      <alignment horizontal="center"/>
      <protection hidden="1"/>
    </xf>
    <xf numFmtId="2" fontId="13" fillId="6" borderId="62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8" xfId="0" applyNumberFormat="1" applyFont="1" applyFill="1" applyBorder="1" applyAlignment="1" applyProtection="1">
      <alignment horizontal="left" vertical="center" wrapText="1"/>
      <protection hidden="1"/>
    </xf>
    <xf numFmtId="2" fontId="4" fillId="6" borderId="4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" xfId="0" applyNumberFormat="1" applyFont="1" applyFill="1" applyBorder="1" applyAlignment="1" applyProtection="1">
      <alignment horizontal="left" vertical="center" wrapText="1"/>
      <protection hidden="1"/>
    </xf>
    <xf numFmtId="2" fontId="13" fillId="12" borderId="7" xfId="0" applyNumberFormat="1" applyFont="1" applyFill="1" applyBorder="1" applyAlignment="1" applyProtection="1">
      <alignment horizontal="center" vertical="center"/>
      <protection hidden="1"/>
    </xf>
    <xf numFmtId="2" fontId="13" fillId="12" borderId="8" xfId="0" applyNumberFormat="1" applyFont="1" applyFill="1" applyBorder="1" applyAlignment="1" applyProtection="1">
      <alignment horizontal="center" vertical="center"/>
      <protection hidden="1"/>
    </xf>
    <xf numFmtId="2" fontId="13" fillId="12" borderId="12" xfId="0" applyNumberFormat="1" applyFont="1" applyFill="1" applyBorder="1" applyAlignment="1" applyProtection="1">
      <alignment horizontal="center" vertical="center"/>
      <protection hidden="1"/>
    </xf>
    <xf numFmtId="2" fontId="7" fillId="14" borderId="14" xfId="3" applyFont="1" applyBorder="1" applyAlignment="1" applyProtection="1">
      <alignment horizontal="center" vertical="center" wrapText="1"/>
      <protection locked="0" hidden="1"/>
    </xf>
    <xf numFmtId="2" fontId="7" fillId="14" borderId="16" xfId="3" applyFont="1" applyBorder="1" applyAlignment="1" applyProtection="1">
      <alignment horizontal="center" vertical="center" wrapText="1"/>
      <protection locked="0"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2" xfId="0" applyNumberFormat="1" applyFont="1" applyFill="1" applyBorder="1" applyAlignment="1" applyProtection="1">
      <alignment horizontal="center"/>
      <protection hidden="1"/>
    </xf>
    <xf numFmtId="2" fontId="7" fillId="6" borderId="19" xfId="0" applyNumberFormat="1" applyFont="1" applyFill="1" applyBorder="1" applyAlignment="1" applyProtection="1">
      <alignment horizontal="center"/>
      <protection hidden="1"/>
    </xf>
    <xf numFmtId="2" fontId="7" fillId="6" borderId="3" xfId="0" applyNumberFormat="1" applyFont="1" applyFill="1" applyBorder="1" applyAlignment="1" applyProtection="1">
      <alignment horizontal="center"/>
      <protection hidden="1"/>
    </xf>
    <xf numFmtId="2" fontId="8" fillId="6" borderId="6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/>
      <protection hidden="1"/>
    </xf>
    <xf numFmtId="2" fontId="8" fillId="6" borderId="8" xfId="2" applyNumberFormat="1" applyFont="1" applyFill="1" applyBorder="1" applyAlignment="1" applyProtection="1">
      <alignment horizontal="center" vertical="center"/>
      <protection hidden="1"/>
    </xf>
    <xf numFmtId="2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7" fillId="9" borderId="69" xfId="0" applyNumberFormat="1" applyFont="1" applyFill="1" applyBorder="1" applyAlignment="1" applyProtection="1">
      <alignment horizontal="center" vertical="center"/>
      <protection hidden="1"/>
    </xf>
    <xf numFmtId="2" fontId="9" fillId="6" borderId="5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8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28" fillId="3" borderId="22" xfId="0" applyNumberFormat="1" applyFont="1" applyFill="1" applyBorder="1" applyAlignment="1" applyProtection="1">
      <alignment horizontal="center" vertical="center"/>
      <protection hidden="1"/>
    </xf>
    <xf numFmtId="2" fontId="28" fillId="3" borderId="32" xfId="0" applyNumberFormat="1" applyFont="1" applyFill="1" applyBorder="1" applyAlignment="1" applyProtection="1">
      <alignment horizontal="center" vertical="center"/>
      <protection hidden="1"/>
    </xf>
    <xf numFmtId="2" fontId="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5" fillId="14" borderId="34" xfId="3" applyBorder="1" applyAlignment="1" applyProtection="1">
      <alignment horizontal="center" vertical="center"/>
      <protection locked="0" hidden="1"/>
    </xf>
    <xf numFmtId="2" fontId="5" fillId="14" borderId="35" xfId="3" applyBorder="1" applyAlignment="1" applyProtection="1">
      <alignment horizontal="center" vertical="center"/>
      <protection locked="0" hidden="1"/>
    </xf>
    <xf numFmtId="2" fontId="8" fillId="6" borderId="2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2" xfId="2" applyNumberFormat="1" applyFont="1" applyFill="1" applyBorder="1" applyAlignment="1" applyProtection="1">
      <alignment horizontal="center"/>
      <protection hidden="1"/>
    </xf>
    <xf numFmtId="2" fontId="8" fillId="6" borderId="24" xfId="2" applyNumberFormat="1" applyFont="1" applyFill="1" applyBorder="1" applyAlignment="1" applyProtection="1">
      <alignment horizontal="center"/>
      <protection hidden="1"/>
    </xf>
    <xf numFmtId="2" fontId="8" fillId="6" borderId="23" xfId="2" applyNumberFormat="1" applyFont="1" applyFill="1" applyBorder="1" applyAlignment="1" applyProtection="1">
      <alignment horizontal="center"/>
      <protection hidden="1"/>
    </xf>
    <xf numFmtId="2" fontId="8" fillId="6" borderId="0" xfId="2" applyNumberFormat="1" applyFont="1" applyFill="1" applyBorder="1" applyAlignment="1" applyProtection="1">
      <alignment horizontal="center"/>
      <protection hidden="1"/>
    </xf>
    <xf numFmtId="2" fontId="7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11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63" xfId="0" applyNumberFormat="1" applyFont="1" applyFill="1" applyBorder="1" applyAlignment="1" applyProtection="1">
      <alignment horizontal="left" vertical="center"/>
      <protection locked="0" hidden="1"/>
    </xf>
    <xf numFmtId="2" fontId="7" fillId="2" borderId="19" xfId="0" applyNumberFormat="1" applyFont="1" applyFill="1" applyBorder="1" applyAlignment="1" applyProtection="1">
      <alignment horizontal="left" vertical="center"/>
      <protection locked="0" hidden="1"/>
    </xf>
    <xf numFmtId="2" fontId="7" fillId="2" borderId="68" xfId="0" applyNumberFormat="1" applyFont="1" applyFill="1" applyBorder="1" applyAlignment="1" applyProtection="1">
      <alignment horizontal="left" vertical="center"/>
      <protection locked="0" hidden="1"/>
    </xf>
    <xf numFmtId="2" fontId="7" fillId="2" borderId="64" xfId="0" applyNumberFormat="1" applyFont="1" applyFill="1" applyBorder="1" applyAlignment="1" applyProtection="1">
      <alignment horizontal="left" vertical="center"/>
      <protection locked="0" hidden="1"/>
    </xf>
    <xf numFmtId="2" fontId="7" fillId="2" borderId="61" xfId="0" applyNumberFormat="1" applyFont="1" applyFill="1" applyBorder="1" applyAlignment="1" applyProtection="1">
      <alignment horizontal="left" vertical="center"/>
      <protection locked="0" hidden="1"/>
    </xf>
    <xf numFmtId="2" fontId="7" fillId="2" borderId="69" xfId="0" applyNumberFormat="1" applyFont="1" applyFill="1" applyBorder="1" applyAlignment="1" applyProtection="1">
      <alignment horizontal="left" vertical="center"/>
      <protection locked="0" hidden="1"/>
    </xf>
    <xf numFmtId="2" fontId="7" fillId="2" borderId="62" xfId="0" applyNumberFormat="1" applyFont="1" applyFill="1" applyBorder="1" applyAlignment="1" applyProtection="1">
      <alignment horizontal="left" vertical="center" wrapText="1"/>
      <protection locked="0" hidden="1"/>
    </xf>
    <xf numFmtId="2" fontId="7" fillId="2" borderId="78" xfId="0" applyNumberFormat="1" applyFont="1" applyFill="1" applyBorder="1" applyAlignment="1" applyProtection="1">
      <alignment horizontal="left" vertical="center" wrapText="1"/>
      <protection locked="0" hidden="1"/>
    </xf>
    <xf numFmtId="2" fontId="7" fillId="2" borderId="67" xfId="0" applyNumberFormat="1" applyFont="1" applyFill="1" applyBorder="1" applyAlignment="1" applyProtection="1">
      <alignment horizontal="left" vertical="center" wrapText="1"/>
      <protection locked="0" hidden="1"/>
    </xf>
    <xf numFmtId="2" fontId="30" fillId="8" borderId="14" xfId="0" applyNumberFormat="1" applyFont="1" applyFill="1" applyBorder="1" applyAlignment="1" applyProtection="1">
      <alignment horizontal="center" vertical="center"/>
      <protection hidden="1"/>
    </xf>
    <xf numFmtId="2" fontId="30" fillId="8" borderId="15" xfId="0" applyNumberFormat="1" applyFont="1" applyFill="1" applyBorder="1" applyAlignment="1" applyProtection="1">
      <alignment horizontal="center" vertical="center"/>
      <protection hidden="1"/>
    </xf>
    <xf numFmtId="2" fontId="30" fillId="8" borderId="16" xfId="0" applyNumberFormat="1" applyFont="1" applyFill="1" applyBorder="1" applyAlignment="1" applyProtection="1">
      <alignment horizontal="center" vertical="center"/>
      <protection hidden="1"/>
    </xf>
    <xf numFmtId="2" fontId="18" fillId="6" borderId="6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1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/>
      <protection hidden="1"/>
    </xf>
    <xf numFmtId="2" fontId="21" fillId="3" borderId="15" xfId="0" applyNumberFormat="1" applyFont="1" applyFill="1" applyBorder="1" applyAlignment="1" applyProtection="1">
      <alignment horizontal="center" vertical="center"/>
      <protection hidden="1"/>
    </xf>
    <xf numFmtId="2" fontId="8" fillId="6" borderId="9" xfId="0" applyNumberFormat="1" applyFont="1" applyFill="1" applyBorder="1" applyAlignment="1" applyProtection="1">
      <alignment horizontal="center" vertical="center"/>
      <protection hidden="1"/>
    </xf>
    <xf numFmtId="2" fontId="8" fillId="6" borderId="10" xfId="0" applyNumberFormat="1" applyFont="1" applyFill="1" applyBorder="1" applyAlignment="1" applyProtection="1">
      <alignment horizontal="center" vertical="center"/>
      <protection hidden="1"/>
    </xf>
    <xf numFmtId="2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4" fillId="17" borderId="8" xfId="0" applyFont="1" applyFill="1" applyBorder="1" applyAlignment="1" applyProtection="1">
      <alignment horizontal="center" vertical="center" wrapText="1"/>
      <protection hidden="1"/>
    </xf>
    <xf numFmtId="2" fontId="28" fillId="3" borderId="23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/>
      <protection hidden="1"/>
    </xf>
    <xf numFmtId="2" fontId="14" fillId="8" borderId="16" xfId="0" applyNumberFormat="1" applyFont="1" applyFill="1" applyBorder="1" applyAlignment="1" applyProtection="1">
      <alignment horizontal="center" vertical="center"/>
      <protection hidden="1"/>
    </xf>
    <xf numFmtId="2" fontId="28" fillId="3" borderId="24" xfId="0" applyNumberFormat="1" applyFont="1" applyFill="1" applyBorder="1" applyAlignment="1" applyProtection="1">
      <alignment horizontal="center" vertical="center"/>
      <protection hidden="1"/>
    </xf>
    <xf numFmtId="2" fontId="28" fillId="3" borderId="0" xfId="0" applyNumberFormat="1" applyFont="1" applyFill="1" applyBorder="1" applyAlignment="1" applyProtection="1">
      <alignment horizontal="center" vertical="center"/>
      <protection hidden="1"/>
    </xf>
    <xf numFmtId="2" fontId="28" fillId="3" borderId="39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3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3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7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3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7" xfId="0" applyNumberFormat="1" applyFont="1" applyFill="1" applyBorder="1" applyAlignment="1" applyProtection="1">
      <alignment horizontal="left" vertical="center" wrapText="1"/>
      <protection hidden="1"/>
    </xf>
    <xf numFmtId="2" fontId="47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39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47" fillId="0" borderId="6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49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0" xfId="0" applyNumberFormat="1" applyFont="1" applyFill="1" applyBorder="1" applyAlignment="1" applyProtection="1">
      <alignment horizontal="left" vertical="center" wrapText="1"/>
      <protection hidden="1"/>
    </xf>
    <xf numFmtId="2" fontId="18" fillId="6" borderId="3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3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14" xfId="0" applyNumberFormat="1" applyFont="1" applyFill="1" applyBorder="1" applyAlignment="1" applyProtection="1">
      <alignment horizontal="center" vertical="center"/>
      <protection hidden="1"/>
    </xf>
    <xf numFmtId="2" fontId="25" fillId="3" borderId="15" xfId="0" applyNumberFormat="1" applyFont="1" applyFill="1" applyBorder="1" applyAlignment="1" applyProtection="1">
      <alignment horizontal="center" vertical="center"/>
      <protection hidden="1"/>
    </xf>
    <xf numFmtId="2" fontId="25" fillId="3" borderId="16" xfId="0" applyNumberFormat="1" applyFont="1" applyFill="1" applyBorder="1" applyAlignment="1" applyProtection="1">
      <alignment horizontal="center" vertical="center"/>
      <protection hidden="1"/>
    </xf>
    <xf numFmtId="2" fontId="10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22" xfId="0" applyNumberFormat="1" applyFont="1" applyFill="1" applyBorder="1" applyAlignment="1" applyProtection="1">
      <alignment horizontal="center" vertical="center"/>
      <protection hidden="1"/>
    </xf>
    <xf numFmtId="2" fontId="14" fillId="8" borderId="32" xfId="0" applyNumberFormat="1" applyFont="1" applyFill="1" applyBorder="1" applyAlignment="1" applyProtection="1">
      <alignment horizontal="center" vertical="center"/>
      <protection hidden="1"/>
    </xf>
    <xf numFmtId="2" fontId="14" fillId="8" borderId="23" xfId="0" applyNumberFormat="1" applyFont="1" applyFill="1" applyBorder="1" applyAlignment="1" applyProtection="1">
      <alignment horizontal="center" vertical="center"/>
      <protection hidden="1"/>
    </xf>
    <xf numFmtId="2" fontId="28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8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8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9" xfId="0" applyNumberFormat="1" applyFont="1" applyFill="1" applyBorder="1" applyAlignment="1" applyProtection="1">
      <alignment horizontal="center" vertical="center"/>
      <protection hidden="1"/>
    </xf>
    <xf numFmtId="2" fontId="17" fillId="6" borderId="10" xfId="0" applyNumberFormat="1" applyFont="1" applyFill="1" applyBorder="1" applyAlignment="1" applyProtection="1">
      <alignment horizontal="center" vertical="center"/>
      <protection hidden="1"/>
    </xf>
    <xf numFmtId="2" fontId="17" fillId="6" borderId="11" xfId="0" applyNumberFormat="1" applyFont="1" applyFill="1" applyBorder="1" applyAlignment="1" applyProtection="1">
      <alignment horizontal="center" vertical="center"/>
      <protection hidden="1"/>
    </xf>
    <xf numFmtId="2" fontId="7" fillId="6" borderId="19" xfId="0" applyNumberFormat="1" applyFont="1" applyFill="1" applyBorder="1" applyAlignment="1" applyProtection="1">
      <alignment horizontal="center" vertical="center"/>
      <protection hidden="1"/>
    </xf>
    <xf numFmtId="2" fontId="7" fillId="6" borderId="68" xfId="0" applyNumberFormat="1" applyFont="1" applyFill="1" applyBorder="1" applyAlignment="1" applyProtection="1">
      <alignment horizont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 vertical="center"/>
      <protection hidden="1"/>
    </xf>
    <xf numFmtId="2" fontId="7" fillId="6" borderId="69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left" vertical="center" wrapText="1"/>
      <protection locked="0"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29" fillId="21" borderId="0" xfId="0" applyFont="1" applyFill="1" applyBorder="1" applyAlignment="1" applyProtection="1">
      <alignment horizontal="left" vertical="center" wrapText="1"/>
      <protection hidden="1"/>
    </xf>
    <xf numFmtId="2" fontId="32" fillId="0" borderId="0" xfId="0" applyNumberFormat="1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Alignment="1" applyProtection="1">
      <alignment horizontal="left" vertical="center" wrapText="1"/>
      <protection hidden="1"/>
    </xf>
    <xf numFmtId="14" fontId="32" fillId="0" borderId="0" xfId="0" applyNumberFormat="1" applyFont="1" applyBorder="1" applyAlignment="1" applyProtection="1">
      <alignment horizontal="left" vertical="center" wrapText="1"/>
      <protection hidden="1"/>
    </xf>
    <xf numFmtId="2" fontId="29" fillId="2" borderId="0" xfId="0" applyNumberFormat="1" applyFont="1" applyFill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horizontal="righ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49" fillId="21" borderId="0" xfId="0" applyFont="1" applyFill="1" applyAlignment="1" applyProtection="1">
      <alignment horizontal="left" vertical="center" wrapText="1"/>
      <protection hidden="1"/>
    </xf>
    <xf numFmtId="0" fontId="29" fillId="0" borderId="14" xfId="0" applyFont="1" applyBorder="1" applyAlignment="1" applyProtection="1">
      <alignment horizontal="center" vertical="center" wrapText="1"/>
      <protection hidden="1"/>
    </xf>
    <xf numFmtId="0" fontId="29" fillId="0" borderId="16" xfId="0" applyFont="1" applyBorder="1" applyAlignment="1" applyProtection="1">
      <alignment horizontal="center" vertical="center" wrapText="1"/>
      <protection hidden="1"/>
    </xf>
    <xf numFmtId="0" fontId="29" fillId="0" borderId="21" xfId="0" applyFont="1" applyBorder="1" applyAlignment="1" applyProtection="1">
      <alignment horizontal="center" vertical="center" wrapText="1"/>
      <protection hidden="1"/>
    </xf>
    <xf numFmtId="0" fontId="29" fillId="0" borderId="6" xfId="0" applyFont="1" applyBorder="1" applyAlignment="1" applyProtection="1">
      <alignment horizontal="center" vertical="center" wrapText="1"/>
      <protection hidden="1"/>
    </xf>
    <xf numFmtId="2" fontId="32" fillId="0" borderId="14" xfId="0" applyNumberFormat="1" applyFont="1" applyBorder="1" applyAlignment="1" applyProtection="1">
      <alignment horizontal="left" vertical="center" wrapText="1"/>
      <protection hidden="1"/>
    </xf>
    <xf numFmtId="2" fontId="32" fillId="0" borderId="16" xfId="0" applyNumberFormat="1" applyFont="1" applyBorder="1" applyAlignment="1" applyProtection="1">
      <alignment horizontal="left" vertical="center" wrapText="1"/>
      <protection hidden="1"/>
    </xf>
    <xf numFmtId="0" fontId="32" fillId="21" borderId="14" xfId="0" applyFont="1" applyFill="1" applyBorder="1" applyAlignment="1" applyProtection="1">
      <alignment horizontal="left" vertical="center" wrapText="1"/>
      <protection hidden="1"/>
    </xf>
    <xf numFmtId="0" fontId="32" fillId="21" borderId="16" xfId="0" applyFont="1" applyFill="1" applyBorder="1" applyAlignment="1" applyProtection="1">
      <alignment horizontal="left" vertical="center" wrapText="1"/>
      <protection hidden="1"/>
    </xf>
    <xf numFmtId="1" fontId="32" fillId="0" borderId="14" xfId="0" applyNumberFormat="1" applyFont="1" applyBorder="1" applyAlignment="1" applyProtection="1">
      <alignment horizontal="left" vertical="center" wrapText="1"/>
      <protection hidden="1"/>
    </xf>
    <xf numFmtId="1" fontId="32" fillId="0" borderId="16" xfId="0" applyNumberFormat="1" applyFont="1" applyBorder="1" applyAlignment="1" applyProtection="1">
      <alignment horizontal="left" vertical="center" wrapText="1"/>
      <protection hidden="1"/>
    </xf>
    <xf numFmtId="168" fontId="32" fillId="0" borderId="14" xfId="0" applyNumberFormat="1" applyFont="1" applyBorder="1" applyAlignment="1" applyProtection="1">
      <alignment horizontal="left" vertical="center" wrapText="1"/>
      <protection hidden="1"/>
    </xf>
    <xf numFmtId="168" fontId="32" fillId="0" borderId="16" xfId="0" applyNumberFormat="1" applyFont="1" applyBorder="1" applyAlignment="1" applyProtection="1">
      <alignment horizontal="left" vertical="center" wrapText="1"/>
      <protection hidden="1"/>
    </xf>
    <xf numFmtId="0" fontId="29" fillId="21" borderId="14" xfId="0" applyFont="1" applyFill="1" applyBorder="1" applyAlignment="1" applyProtection="1">
      <alignment horizontal="center" vertical="center" wrapText="1"/>
      <protection hidden="1"/>
    </xf>
    <xf numFmtId="0" fontId="29" fillId="21" borderId="16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29" fillId="21" borderId="0" xfId="0" applyFont="1" applyFill="1" applyAlignment="1" applyProtection="1">
      <alignment horizontal="left" vertical="center" wrapText="1"/>
      <protection hidden="1"/>
    </xf>
    <xf numFmtId="0" fontId="29" fillId="0" borderId="22" xfId="0" applyFont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2" fillId="0" borderId="23" xfId="0" applyFont="1" applyBorder="1" applyAlignment="1" applyProtection="1">
      <alignment horizontal="center" vertical="center" wrapText="1"/>
      <protection hidden="1"/>
    </xf>
    <xf numFmtId="0" fontId="53" fillId="0" borderId="0" xfId="0" applyFont="1" applyFill="1" applyAlignment="1" applyProtection="1">
      <alignment horizontal="justify" vertical="center" wrapText="1"/>
      <protection locked="0" hidden="1"/>
    </xf>
    <xf numFmtId="0" fontId="32" fillId="0" borderId="14" xfId="0" applyFont="1" applyBorder="1" applyAlignment="1" applyProtection="1">
      <alignment horizontal="left" vertical="center" wrapText="1"/>
      <protection hidden="1"/>
    </xf>
    <xf numFmtId="0" fontId="32" fillId="0" borderId="16" xfId="0" applyFont="1" applyBorder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left" vertical="center" wrapText="1"/>
      <protection locked="0"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left" vertical="top" wrapText="1"/>
      <protection locked="0" hidden="1"/>
    </xf>
    <xf numFmtId="0" fontId="32" fillId="0" borderId="0" xfId="0" applyFont="1" applyAlignment="1" applyProtection="1">
      <alignment horizontal="left" vertical="top" wrapText="1"/>
      <protection hidden="1"/>
    </xf>
    <xf numFmtId="0" fontId="53" fillId="0" borderId="0" xfId="0" applyFont="1" applyBorder="1" applyAlignment="1" applyProtection="1">
      <alignment horizontal="justify" vertical="justify" wrapText="1"/>
      <protection locked="0" hidden="1"/>
    </xf>
    <xf numFmtId="0" fontId="32" fillId="0" borderId="24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justify" vertical="center" wrapText="1"/>
      <protection locked="0" hidden="1"/>
    </xf>
    <xf numFmtId="0" fontId="17" fillId="0" borderId="14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0" fontId="53" fillId="0" borderId="0" xfId="0" applyFont="1" applyAlignment="1" applyProtection="1">
      <alignment horizontal="justify" vertical="justify" wrapText="1"/>
      <protection locked="0"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53" fillId="2" borderId="0" xfId="0" applyFont="1" applyFill="1" applyBorder="1" applyAlignment="1" applyProtection="1">
      <alignment horizontal="justify" vertical="justify" wrapText="1"/>
      <protection locked="0" hidden="1"/>
    </xf>
    <xf numFmtId="0" fontId="32" fillId="2" borderId="0" xfId="0" applyFont="1" applyFill="1" applyBorder="1" applyAlignment="1" applyProtection="1">
      <alignment horizontal="justify" vertical="center" wrapText="1"/>
      <protection locked="0" hidden="1"/>
    </xf>
    <xf numFmtId="0" fontId="53" fillId="0" borderId="0" xfId="0" applyFont="1" applyFill="1" applyAlignment="1" applyProtection="1">
      <alignment horizontal="justify" vertical="center" wrapText="1"/>
      <protection hidden="1"/>
    </xf>
    <xf numFmtId="0" fontId="29" fillId="2" borderId="14" xfId="0" applyFont="1" applyFill="1" applyBorder="1" applyAlignment="1" applyProtection="1">
      <alignment horizontal="center" vertical="center" wrapText="1"/>
      <protection hidden="1"/>
    </xf>
    <xf numFmtId="0" fontId="29" fillId="2" borderId="16" xfId="0" applyFont="1" applyFill="1" applyBorder="1" applyAlignment="1" applyProtection="1">
      <alignment horizontal="center" vertical="center" wrapText="1"/>
      <protection hidden="1"/>
    </xf>
    <xf numFmtId="0" fontId="32" fillId="2" borderId="14" xfId="0" applyFont="1" applyFill="1" applyBorder="1" applyAlignment="1" applyProtection="1">
      <alignment horizontal="left" vertical="center" wrapText="1"/>
      <protection locked="0" hidden="1"/>
    </xf>
    <xf numFmtId="0" fontId="32" fillId="2" borderId="16" xfId="0" applyFont="1" applyFill="1" applyBorder="1" applyAlignment="1" applyProtection="1">
      <alignment horizontal="left" vertical="center" wrapText="1"/>
      <protection locked="0" hidden="1"/>
    </xf>
    <xf numFmtId="1" fontId="32" fillId="2" borderId="14" xfId="0" applyNumberFormat="1" applyFont="1" applyFill="1" applyBorder="1" applyAlignment="1" applyProtection="1">
      <alignment horizontal="left" vertical="center" wrapText="1"/>
      <protection hidden="1"/>
    </xf>
    <xf numFmtId="1" fontId="3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29" fillId="2" borderId="21" xfId="0" applyFont="1" applyFill="1" applyBorder="1" applyAlignment="1" applyProtection="1">
      <alignment horizontal="center" vertical="center" wrapText="1"/>
      <protection hidden="1"/>
    </xf>
    <xf numFmtId="0" fontId="29" fillId="2" borderId="6" xfId="0" applyFont="1" applyFill="1" applyBorder="1" applyAlignment="1" applyProtection="1">
      <alignment horizontal="center" vertical="center" wrapText="1"/>
      <protection hidden="1"/>
    </xf>
    <xf numFmtId="168" fontId="32" fillId="2" borderId="14" xfId="0" applyNumberFormat="1" applyFont="1" applyFill="1" applyBorder="1" applyAlignment="1" applyProtection="1">
      <alignment horizontal="left" vertical="center" wrapText="1"/>
      <protection hidden="1"/>
    </xf>
    <xf numFmtId="168" fontId="3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justify" vertical="justify" wrapText="1"/>
      <protection hidden="1"/>
    </xf>
    <xf numFmtId="0" fontId="53" fillId="2" borderId="0" xfId="0" applyFont="1" applyFill="1" applyBorder="1" applyAlignment="1" applyProtection="1">
      <alignment horizontal="justify" vertical="justify" wrapText="1"/>
      <protection hidden="1"/>
    </xf>
    <xf numFmtId="0" fontId="32" fillId="0" borderId="0" xfId="0" applyFont="1" applyAlignment="1" applyProtection="1">
      <alignment horizontal="justify" vertical="center" wrapText="1"/>
      <protection locked="0" hidden="1"/>
    </xf>
    <xf numFmtId="0" fontId="53" fillId="2" borderId="0" xfId="0" applyFont="1" applyFill="1" applyBorder="1" applyAlignment="1" applyProtection="1">
      <alignment horizontal="justify" vertical="center" wrapText="1"/>
      <protection hidden="1"/>
    </xf>
    <xf numFmtId="0" fontId="53" fillId="0" borderId="0" xfId="0" applyFont="1" applyBorder="1" applyAlignment="1" applyProtection="1">
      <alignment horizontal="justify" vertical="justify" wrapText="1"/>
      <protection hidden="1"/>
    </xf>
  </cellXfs>
  <cellStyles count="5">
    <cellStyle name="Buena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8DB4E2"/>
      <color rgb="FFF4B084"/>
      <color rgb="FFB6FD03"/>
      <color rgb="FF1F4E78"/>
      <color rgb="FFDDEBF7"/>
      <color rgb="FFC6E0B4"/>
      <color rgb="FFAEAAAA"/>
      <color rgb="FF000000"/>
      <color rgb="FFBDD7EE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1'!$F$102:$F$104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1'!$H$102:$H$104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698576"/>
        <c:axId val="498710000"/>
      </c:scatterChart>
      <c:valAx>
        <c:axId val="49869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10000"/>
        <c:crosses val="autoZero"/>
        <c:crossBetween val="midCat"/>
      </c:valAx>
      <c:valAx>
        <c:axId val="49871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69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1'!$F$134:$F$136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1'!$H$134:$H$136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0880"/>
        <c:axId val="574251968"/>
      </c:scatterChart>
      <c:valAx>
        <c:axId val="57425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1968"/>
        <c:crosses val="autoZero"/>
        <c:crossBetween val="midCat"/>
      </c:valAx>
      <c:valAx>
        <c:axId val="57425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0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1'!$F$137:$F$139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'DATOS 1'!$H$137:$H$139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7408"/>
        <c:axId val="574252512"/>
      </c:scatterChart>
      <c:valAx>
        <c:axId val="57425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2512"/>
        <c:crosses val="autoZero"/>
        <c:crossBetween val="midCat"/>
      </c:valAx>
      <c:valAx>
        <c:axId val="57425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'DATOS 1'!$H$140:$H$142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3056"/>
        <c:axId val="574249792"/>
      </c:scatterChart>
      <c:valAx>
        <c:axId val="57425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49792"/>
        <c:crosses val="autoZero"/>
        <c:crossBetween val="midCat"/>
      </c:valAx>
      <c:valAx>
        <c:axId val="57424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1'!$F$144:$F$146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'DATOS 1'!$H$144:$H$146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0336"/>
        <c:axId val="574254688"/>
      </c:scatterChart>
      <c:valAx>
        <c:axId val="57425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4688"/>
        <c:crosses val="autoZero"/>
        <c:crossBetween val="midCat"/>
      </c:valAx>
      <c:valAx>
        <c:axId val="57425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1'!$F$147:$F$149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'DATOS 1'!$H$147:$H$149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6864"/>
        <c:axId val="574253600"/>
      </c:scatterChart>
      <c:valAx>
        <c:axId val="57425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3600"/>
        <c:crosses val="autoZero"/>
        <c:crossBetween val="midCat"/>
      </c:valAx>
      <c:valAx>
        <c:axId val="5742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6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1'!$A$150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'DATOS 1'!$H$150:$H$152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4144"/>
        <c:axId val="574262304"/>
      </c:scatterChart>
      <c:valAx>
        <c:axId val="57425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62304"/>
        <c:crosses val="autoZero"/>
        <c:crossBetween val="midCat"/>
      </c:valAx>
      <c:valAx>
        <c:axId val="57426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4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'!$F$102:$F$104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'DATOS '!$H$102:$H$104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47072"/>
        <c:axId val="574255232"/>
      </c:scatterChart>
      <c:valAx>
        <c:axId val="574247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5232"/>
        <c:crosses val="autoZero"/>
        <c:crossBetween val="midCat"/>
      </c:valAx>
      <c:valAx>
        <c:axId val="57425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4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'!$F$105:$F$107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'!$H$105:$H$107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48704"/>
        <c:axId val="574255776"/>
      </c:scatterChart>
      <c:valAx>
        <c:axId val="57424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5776"/>
        <c:crosses val="autoZero"/>
        <c:crossBetween val="midCat"/>
      </c:valAx>
      <c:valAx>
        <c:axId val="5742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4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'!$F$108:$F$110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'DATOS '!$H$108:$H$110</c:f>
              <c:numCache>
                <c:formatCode>General</c:formatCode>
                <c:ptCount val="3"/>
                <c:pt idx="0">
                  <c:v>-0.92</c:v>
                </c:pt>
                <c:pt idx="1">
                  <c:v>-0.89</c:v>
                </c:pt>
                <c:pt idx="2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6320"/>
        <c:axId val="574260128"/>
      </c:scatterChart>
      <c:valAx>
        <c:axId val="57425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60128"/>
        <c:crosses val="autoZero"/>
        <c:crossBetween val="midCat"/>
      </c:valAx>
      <c:valAx>
        <c:axId val="57426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6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'!$F$113:$F$115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7952"/>
        <c:axId val="574258496"/>
      </c:scatterChart>
      <c:valAx>
        <c:axId val="57425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8496"/>
        <c:crosses val="autoZero"/>
        <c:crossBetween val="midCat"/>
      </c:valAx>
      <c:valAx>
        <c:axId val="57425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1'!$F$105:$F$107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'DATOS 1'!$H$105:$H$107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705104"/>
        <c:axId val="498699664"/>
      </c:scatterChart>
      <c:valAx>
        <c:axId val="49870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699664"/>
        <c:crosses val="autoZero"/>
        <c:crossBetween val="midCat"/>
      </c:valAx>
      <c:valAx>
        <c:axId val="49869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0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'!$F$116:$F$118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'!$H$116:$H$118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59040"/>
        <c:axId val="574247616"/>
      </c:scatterChart>
      <c:valAx>
        <c:axId val="57425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47616"/>
        <c:crosses val="autoZero"/>
        <c:crossBetween val="midCat"/>
      </c:valAx>
      <c:valAx>
        <c:axId val="57424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'!$F$119:$F$121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798.5</c:v>
                </c:pt>
              </c:numCache>
            </c:numRef>
          </c:xVal>
          <c:yVal>
            <c:numRef>
              <c:f>'DATOS '!$H$119:$H$121</c:f>
              <c:numCache>
                <c:formatCode>#,##0.00</c:formatCode>
                <c:ptCount val="3"/>
                <c:pt idx="0">
                  <c:v>-0.82</c:v>
                </c:pt>
                <c:pt idx="1">
                  <c:v>-0.79</c:v>
                </c:pt>
                <c:pt idx="2">
                  <c:v>-0.53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48160"/>
        <c:axId val="574259584"/>
      </c:scatterChart>
      <c:valAx>
        <c:axId val="57424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9584"/>
        <c:crosses val="autoZero"/>
        <c:crossBetween val="midCat"/>
      </c:valAx>
      <c:valAx>
        <c:axId val="57425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4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'!$F$124:$F$126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'!$H$124:$H$126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07504"/>
        <c:axId val="576005328"/>
      </c:scatterChart>
      <c:valAx>
        <c:axId val="57600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5328"/>
        <c:crosses val="autoZero"/>
        <c:crossBetween val="midCat"/>
      </c:valAx>
      <c:valAx>
        <c:axId val="57600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7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'!$F$127:$F$129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'DATOS '!$H$127:$H$129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03696"/>
        <c:axId val="575997712"/>
      </c:scatterChart>
      <c:valAx>
        <c:axId val="57600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5997712"/>
        <c:crosses val="autoZero"/>
        <c:crossBetween val="midCat"/>
      </c:valAx>
      <c:valAx>
        <c:axId val="57599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3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'!$F$130:$F$132</c:f>
              <c:numCache>
                <c:formatCode>General</c:formatCode>
                <c:ptCount val="3"/>
                <c:pt idx="0" formatCode="0.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'DATOS '!$H$130:$H$132</c:f>
              <c:numCache>
                <c:formatCode>0.00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04240"/>
        <c:axId val="575999344"/>
      </c:scatterChart>
      <c:valAx>
        <c:axId val="57600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5999344"/>
        <c:crosses val="autoZero"/>
        <c:crossBetween val="midCat"/>
      </c:valAx>
      <c:valAx>
        <c:axId val="57599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'!$F$134:$F$136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'DATOS '!$H$134:$H$136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02608"/>
        <c:axId val="576011312"/>
      </c:scatterChart>
      <c:valAx>
        <c:axId val="57600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11312"/>
        <c:crosses val="autoZero"/>
        <c:crossBetween val="midCat"/>
      </c:valAx>
      <c:valAx>
        <c:axId val="57601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'!$F$137:$F$139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'DATOS '!$H$137:$H$139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01520"/>
        <c:axId val="576009136"/>
      </c:scatterChart>
      <c:valAx>
        <c:axId val="5760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9136"/>
        <c:crosses val="autoZero"/>
        <c:crossBetween val="midCat"/>
      </c:valAx>
      <c:valAx>
        <c:axId val="5760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'!$F$140:$F$142</c:f>
              <c:numCache>
                <c:formatCode>General</c:formatCode>
                <c:ptCount val="3"/>
                <c:pt idx="0">
                  <c:v>698.4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'!$H$140:$H$142</c:f>
              <c:numCache>
                <c:formatCode>0.00</c:formatCode>
                <c:ptCount val="3"/>
                <c:pt idx="0" formatCode="General">
                  <c:v>-0.83</c:v>
                </c:pt>
                <c:pt idx="1">
                  <c:v>-0.79</c:v>
                </c:pt>
                <c:pt idx="2" formatCode="General">
                  <c:v>-0.74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10224"/>
        <c:axId val="576008048"/>
      </c:scatterChart>
      <c:valAx>
        <c:axId val="57601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8048"/>
        <c:crosses val="autoZero"/>
        <c:crossBetween val="midCat"/>
      </c:valAx>
      <c:valAx>
        <c:axId val="57600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10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'!$F$144:$F$146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'!$H$144:$H$146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998256"/>
        <c:axId val="576004784"/>
      </c:scatterChart>
      <c:valAx>
        <c:axId val="57599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4784"/>
        <c:crosses val="autoZero"/>
        <c:crossBetween val="midCat"/>
      </c:valAx>
      <c:valAx>
        <c:axId val="57600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599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566452924726993"/>
                  <c:y val="-0.427843780490855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'!$F$147:$F$149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'!$H$147:$H$149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05872"/>
        <c:axId val="576006416"/>
      </c:scatterChart>
      <c:valAx>
        <c:axId val="57600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6416"/>
        <c:crosses val="autoZero"/>
        <c:crossBetween val="midCat"/>
      </c:valAx>
      <c:valAx>
        <c:axId val="57600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1'!$A$108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'DATOS 1'!$H$108:$H$110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701296"/>
        <c:axId val="498701840"/>
      </c:scatterChart>
      <c:valAx>
        <c:axId val="49870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01840"/>
        <c:crosses val="autoZero"/>
        <c:crossBetween val="midCat"/>
      </c:valAx>
      <c:valAx>
        <c:axId val="49870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01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'!$F$150:$F$152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'!$H$150:$H$152</c:f>
              <c:numCache>
                <c:formatCode>0.00</c:formatCode>
                <c:ptCount val="3"/>
                <c:pt idx="0" formatCode="General">
                  <c:v>-0.88</c:v>
                </c:pt>
                <c:pt idx="1">
                  <c:v>-0.79200000000000004</c:v>
                </c:pt>
                <c:pt idx="2" formatCode="General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998800"/>
        <c:axId val="575999888"/>
      </c:scatterChart>
      <c:valAx>
        <c:axId val="57599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5999888"/>
        <c:crosses val="autoZero"/>
        <c:crossBetween val="midCat"/>
      </c:valAx>
      <c:valAx>
        <c:axId val="5759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5998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0387363746815E-2"/>
          <c:y val="0.12433233242982443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'RT03-F12'!$J$126:$J$130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81416995201375"/>
                  <c:y val="-9.11503375621724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'RT03-F12'!$J$126:$J$130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'RT03-F12'!$K$126:$K$130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10768"/>
        <c:axId val="576000432"/>
      </c:scatterChart>
      <c:valAx>
        <c:axId val="576010768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0432"/>
        <c:crosses val="autoZero"/>
        <c:crossBetween val="midCat"/>
        <c:majorUnit val="1000"/>
        <c:minorUnit val="10"/>
      </c:valAx>
      <c:valAx>
        <c:axId val="576000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1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ERROR E INCERTIDUMBRE EXPANDIDA</a:t>
            </a:r>
          </a:p>
        </c:rich>
      </c:tx>
      <c:layout>
        <c:manualLayout>
          <c:xMode val="edge"/>
          <c:yMode val="edge"/>
          <c:x val="0.31876839783993705"/>
          <c:y val="2.527473001314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'RT03-F15 '!$B$104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'RT03-F15 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'RT03-F15 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905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'RT03-F15 '!$A$105:$A$109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'RT03-F15 '!$B$105:$B$109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06960"/>
        <c:axId val="576008592"/>
      </c:scatterChart>
      <c:valAx>
        <c:axId val="576006960"/>
        <c:scaling>
          <c:orientation val="minMax"/>
          <c:max val="9000"/>
          <c:min val="-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8592"/>
        <c:crossesAt val="0"/>
        <c:crossBetween val="midCat"/>
        <c:majorUnit val="1000"/>
        <c:minorUnit val="10"/>
      </c:valAx>
      <c:valAx>
        <c:axId val="5760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6960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ERROR E INCERTIDUMBRE EXPANDIDA</a:t>
            </a:r>
          </a:p>
        </c:rich>
      </c:tx>
      <c:layout>
        <c:manualLayout>
          <c:xMode val="edge"/>
          <c:yMode val="edge"/>
          <c:x val="0.31876839783993705"/>
          <c:y val="2.527473001314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'RT03-F39'!$B$104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'RT03-F39'!$C$105:$C$109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'RT03-F39'!$C$105:$C$109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905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'RT03-F39'!$A$105:$A$109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'RT03-F39'!$B$105:$B$109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996080"/>
        <c:axId val="576002064"/>
      </c:scatterChart>
      <c:valAx>
        <c:axId val="575996080"/>
        <c:scaling>
          <c:orientation val="minMax"/>
          <c:max val="9000"/>
          <c:min val="-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02064"/>
        <c:crossesAt val="0"/>
        <c:crossBetween val="midCat"/>
        <c:majorUnit val="1000"/>
        <c:minorUnit val="10"/>
      </c:valAx>
      <c:valAx>
        <c:axId val="57600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5996080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1'!$F$113:$F$115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'DATOS 1'!$H$113:$H$115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710544"/>
        <c:axId val="498711088"/>
      </c:scatterChart>
      <c:valAx>
        <c:axId val="49871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11088"/>
        <c:crosses val="autoZero"/>
        <c:crossBetween val="midCat"/>
      </c:valAx>
      <c:valAx>
        <c:axId val="49871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10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1'!$F$116:$F$118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'DATOS 1'!$H$116:$H$118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702928"/>
        <c:axId val="498703472"/>
      </c:scatterChart>
      <c:valAx>
        <c:axId val="49870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03472"/>
        <c:crosses val="autoZero"/>
        <c:crossBetween val="midCat"/>
      </c:valAx>
      <c:valAx>
        <c:axId val="49870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0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1'!$A$119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'DATOS 1'!$H$119:$H$121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704016"/>
        <c:axId val="498707280"/>
      </c:scatterChart>
      <c:valAx>
        <c:axId val="49870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07280"/>
        <c:crosses val="autoZero"/>
        <c:crossBetween val="midCat"/>
      </c:valAx>
      <c:valAx>
        <c:axId val="49870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0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1'!$F$124:$F$126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'DATOS 1'!$H$124:$H$126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707824"/>
        <c:axId val="574249248"/>
      </c:scatterChart>
      <c:valAx>
        <c:axId val="49870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49248"/>
        <c:crosses val="autoZero"/>
        <c:crossBetween val="midCat"/>
      </c:valAx>
      <c:valAx>
        <c:axId val="57424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07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1'!$F$127:$F$129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'DATOS 1'!$H$127:$H$129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61760"/>
        <c:axId val="574260672"/>
      </c:scatterChart>
      <c:valAx>
        <c:axId val="57426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60672"/>
        <c:crosses val="autoZero"/>
        <c:crossBetween val="midCat"/>
      </c:valAx>
      <c:valAx>
        <c:axId val="57426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61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'DATOS 1'!$H$130:$H$132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61216"/>
        <c:axId val="574251424"/>
      </c:scatterChart>
      <c:valAx>
        <c:axId val="57426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51424"/>
        <c:crosses val="autoZero"/>
        <c:crossBetween val="midCat"/>
      </c:valAx>
      <c:valAx>
        <c:axId val="57425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26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31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1339169</xdr:colOff>
      <xdr:row>104</xdr:row>
      <xdr:rowOff>214766</xdr:rowOff>
    </xdr:from>
    <xdr:to>
      <xdr:col>15</xdr:col>
      <xdr:colOff>696909</xdr:colOff>
      <xdr:row>107</xdr:row>
      <xdr:rowOff>350838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111125</xdr:colOff>
      <xdr:row>104</xdr:row>
      <xdr:rowOff>231775</xdr:rowOff>
    </xdr:from>
    <xdr:to>
      <xdr:col>17</xdr:col>
      <xdr:colOff>630915</xdr:colOff>
      <xdr:row>107</xdr:row>
      <xdr:rowOff>367847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193675</xdr:colOff>
      <xdr:row>104</xdr:row>
      <xdr:rowOff>268288</xdr:rowOff>
    </xdr:from>
    <xdr:to>
      <xdr:col>19</xdr:col>
      <xdr:colOff>942065</xdr:colOff>
      <xdr:row>108</xdr:row>
      <xdr:rowOff>23360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112713</xdr:colOff>
      <xdr:row>115</xdr:row>
      <xdr:rowOff>238125</xdr:rowOff>
    </xdr:from>
    <xdr:to>
      <xdr:col>15</xdr:col>
      <xdr:colOff>861103</xdr:colOff>
      <xdr:row>118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188913</xdr:colOff>
      <xdr:row>115</xdr:row>
      <xdr:rowOff>228601</xdr:rowOff>
    </xdr:from>
    <xdr:to>
      <xdr:col>17</xdr:col>
      <xdr:colOff>708703</xdr:colOff>
      <xdr:row>118</xdr:row>
      <xdr:rowOff>364673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206375</xdr:colOff>
      <xdr:row>115</xdr:row>
      <xdr:rowOff>250825</xdr:rowOff>
    </xdr:from>
    <xdr:to>
      <xdr:col>19</xdr:col>
      <xdr:colOff>954765</xdr:colOff>
      <xdr:row>119</xdr:row>
      <xdr:rowOff>5897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87313</xdr:colOff>
      <xdr:row>126</xdr:row>
      <xdr:rowOff>269875</xdr:rowOff>
    </xdr:from>
    <xdr:to>
      <xdr:col>15</xdr:col>
      <xdr:colOff>835703</xdr:colOff>
      <xdr:row>130</xdr:row>
      <xdr:rowOff>24947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269875</xdr:colOff>
      <xdr:row>126</xdr:row>
      <xdr:rowOff>293688</xdr:rowOff>
    </xdr:from>
    <xdr:to>
      <xdr:col>17</xdr:col>
      <xdr:colOff>780140</xdr:colOff>
      <xdr:row>130</xdr:row>
      <xdr:rowOff>48760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468312</xdr:colOff>
      <xdr:row>126</xdr:row>
      <xdr:rowOff>277813</xdr:rowOff>
    </xdr:from>
    <xdr:to>
      <xdr:col>19</xdr:col>
      <xdr:colOff>1216702</xdr:colOff>
      <xdr:row>130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1377723</xdr:colOff>
      <xdr:row>136</xdr:row>
      <xdr:rowOff>276679</xdr:rowOff>
    </xdr:from>
    <xdr:to>
      <xdr:col>15</xdr:col>
      <xdr:colOff>738185</xdr:colOff>
      <xdr:row>140</xdr:row>
      <xdr:rowOff>31751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137205</xdr:colOff>
      <xdr:row>136</xdr:row>
      <xdr:rowOff>285750</xdr:rowOff>
    </xdr:from>
    <xdr:to>
      <xdr:col>17</xdr:col>
      <xdr:colOff>654274</xdr:colOff>
      <xdr:row>140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295956</xdr:colOff>
      <xdr:row>136</xdr:row>
      <xdr:rowOff>343581</xdr:rowOff>
    </xdr:from>
    <xdr:to>
      <xdr:col>19</xdr:col>
      <xdr:colOff>1044346</xdr:colOff>
      <xdr:row>140</xdr:row>
      <xdr:rowOff>98653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127000</xdr:colOff>
      <xdr:row>146</xdr:row>
      <xdr:rowOff>305593</xdr:rowOff>
    </xdr:from>
    <xdr:to>
      <xdr:col>15</xdr:col>
      <xdr:colOff>875390</xdr:colOff>
      <xdr:row>150</xdr:row>
      <xdr:rowOff>60665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265907</xdr:colOff>
      <xdr:row>146</xdr:row>
      <xdr:rowOff>337345</xdr:rowOff>
    </xdr:from>
    <xdr:to>
      <xdr:col>17</xdr:col>
      <xdr:colOff>776172</xdr:colOff>
      <xdr:row>150</xdr:row>
      <xdr:rowOff>92417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337344</xdr:colOff>
      <xdr:row>146</xdr:row>
      <xdr:rowOff>257969</xdr:rowOff>
    </xdr:from>
    <xdr:to>
      <xdr:col>19</xdr:col>
      <xdr:colOff>1085734</xdr:colOff>
      <xdr:row>150</xdr:row>
      <xdr:rowOff>13041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2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80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75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80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77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2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99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2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78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2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79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2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82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2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95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2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93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2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89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2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2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108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2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107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2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108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id="{00000000-0008-0000-02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id="{00000000-0008-0000-02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2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2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108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2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116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2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118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2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117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2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118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id="{00000000-0008-0000-02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108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2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114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id="{00000000-0008-0000-02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116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id="{00000000-0008-0000-02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132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id="{00000000-0008-0000-02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xmlns="" id="{00000000-0008-0000-02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86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00000000-0008-0000-02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88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xmlns="" id="{00000000-0008-0000-02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91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id="{00000000-0008-0000-02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92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id="{00000000-0008-0000-02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93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xmlns="" id="{00000000-0008-0000-02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87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id="{00000000-0008-0000-02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123</xdr:row>
      <xdr:rowOff>67235</xdr:rowOff>
    </xdr:from>
    <xdr:to>
      <xdr:col>8</xdr:col>
      <xdr:colOff>974913</xdr:colOff>
      <xdr:row>130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xmlns="" id="{00000000-0008-0000-02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xmlns="" id="{00000000-0008-0000-02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2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14</xdr:col>
      <xdr:colOff>628650</xdr:colOff>
      <xdr:row>88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5840075" y="4829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570901</xdr:colOff>
      <xdr:row>57</xdr:row>
      <xdr:rowOff>125157</xdr:rowOff>
    </xdr:from>
    <xdr:to>
      <xdr:col>5</xdr:col>
      <xdr:colOff>617202</xdr:colOff>
      <xdr:row>60</xdr:row>
      <xdr:rowOff>233198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3810" y="13538089"/>
          <a:ext cx="2401574" cy="1190937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143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329755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151160</xdr:colOff>
      <xdr:row>112</xdr:row>
      <xdr:rowOff>180975</xdr:rowOff>
    </xdr:from>
    <xdr:to>
      <xdr:col>5</xdr:col>
      <xdr:colOff>656399</xdr:colOff>
      <xdr:row>128</xdr:row>
      <xdr:rowOff>138319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143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142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570901</xdr:colOff>
      <xdr:row>57</xdr:row>
      <xdr:rowOff>125157</xdr:rowOff>
    </xdr:from>
    <xdr:to>
      <xdr:col>5</xdr:col>
      <xdr:colOff>617202</xdr:colOff>
      <xdr:row>60</xdr:row>
      <xdr:rowOff>233198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201" y="17441607"/>
          <a:ext cx="2408501" cy="1165316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143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40395525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151160</xdr:colOff>
      <xdr:row>112</xdr:row>
      <xdr:rowOff>180975</xdr:rowOff>
    </xdr:from>
    <xdr:to>
      <xdr:col>5</xdr:col>
      <xdr:colOff>656399</xdr:colOff>
      <xdr:row>128</xdr:row>
      <xdr:rowOff>138319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95949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95949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143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40300067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40300067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142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3547028" y="40149532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3547028" y="40149532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J19" zoomScale="80" zoomScaleNormal="20" zoomScaleSheetLayoutView="80" workbookViewId="0">
      <selection activeCell="N25" sqref="N25:N26"/>
    </sheetView>
  </sheetViews>
  <sheetFormatPr baseColWidth="10" defaultColWidth="15.7109375" defaultRowHeight="15" x14ac:dyDescent="0.2"/>
  <cols>
    <col min="1" max="1" width="15.7109375" style="86"/>
    <col min="2" max="14" width="20.7109375" style="86" customWidth="1"/>
    <col min="15" max="16" width="20.7109375" style="88" customWidth="1"/>
    <col min="17" max="17" width="24.28515625" style="88" customWidth="1"/>
    <col min="18" max="26" width="20.7109375" style="88" customWidth="1"/>
    <col min="27" max="33" width="20.7109375" style="86" customWidth="1"/>
    <col min="34" max="34" width="19.85546875" style="86" bestFit="1" customWidth="1"/>
    <col min="35" max="38" width="15.85546875" style="86" bestFit="1" customWidth="1"/>
    <col min="39" max="43" width="16" style="86" customWidth="1"/>
    <col min="44" max="47" width="10.7109375" style="86" customWidth="1"/>
    <col min="48" max="48" width="16" style="86" bestFit="1" customWidth="1"/>
    <col min="49" max="49" width="15.85546875" style="86" bestFit="1" customWidth="1"/>
    <col min="50" max="50" width="20.7109375" style="86" bestFit="1" customWidth="1"/>
    <col min="51" max="51" width="15.85546875" style="86" bestFit="1" customWidth="1"/>
    <col min="52" max="52" width="15.7109375" style="86"/>
    <col min="53" max="53" width="20" style="86" customWidth="1"/>
    <col min="54" max="55" width="10.7109375" style="86" customWidth="1"/>
    <col min="56" max="16384" width="15.7109375" style="86"/>
  </cols>
  <sheetData>
    <row r="1" spans="2:83" ht="30" customHeight="1" x14ac:dyDescent="0.2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83" ht="30" customHeight="1" thickBo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83" ht="30" customHeight="1" x14ac:dyDescent="0.2">
      <c r="B3" s="87"/>
      <c r="C3" s="962" t="s">
        <v>133</v>
      </c>
      <c r="D3" s="963"/>
      <c r="E3" s="963"/>
      <c r="F3" s="963"/>
      <c r="G3" s="963"/>
      <c r="H3" s="963"/>
      <c r="I3" s="963"/>
      <c r="J3" s="963"/>
      <c r="K3" s="964"/>
      <c r="L3" s="87"/>
      <c r="M3" s="87"/>
    </row>
    <row r="4" spans="2:83" ht="30" customHeight="1" thickBot="1" x14ac:dyDescent="0.25">
      <c r="B4" s="87"/>
      <c r="C4" s="965"/>
      <c r="D4" s="966"/>
      <c r="E4" s="966"/>
      <c r="F4" s="966"/>
      <c r="G4" s="966"/>
      <c r="H4" s="966"/>
      <c r="I4" s="966"/>
      <c r="J4" s="966"/>
      <c r="K4" s="967"/>
      <c r="L4" s="87"/>
      <c r="M4" s="87"/>
    </row>
    <row r="5" spans="2:83" ht="30" customHeight="1" thickBot="1" x14ac:dyDescent="0.25">
      <c r="B5" s="87"/>
      <c r="C5" s="994" t="s">
        <v>134</v>
      </c>
      <c r="D5" s="996" t="s">
        <v>7</v>
      </c>
      <c r="E5" s="996" t="s">
        <v>135</v>
      </c>
      <c r="F5" s="996" t="s">
        <v>8</v>
      </c>
      <c r="G5" s="996" t="s">
        <v>75</v>
      </c>
      <c r="H5" s="996" t="s">
        <v>136</v>
      </c>
      <c r="I5" s="996" t="s">
        <v>81</v>
      </c>
      <c r="J5" s="996" t="s">
        <v>137</v>
      </c>
      <c r="K5" s="998" t="s">
        <v>138</v>
      </c>
      <c r="L5" s="974" t="s">
        <v>350</v>
      </c>
      <c r="M5" s="89"/>
    </row>
    <row r="6" spans="2:83" ht="30" customHeight="1" thickBot="1" x14ac:dyDescent="0.25">
      <c r="B6" s="87"/>
      <c r="C6" s="995"/>
      <c r="D6" s="997"/>
      <c r="E6" s="997"/>
      <c r="F6" s="997"/>
      <c r="G6" s="997"/>
      <c r="H6" s="997"/>
      <c r="I6" s="997"/>
      <c r="J6" s="997"/>
      <c r="K6" s="999"/>
      <c r="L6" s="975"/>
      <c r="M6" s="90" t="s">
        <v>351</v>
      </c>
      <c r="N6" s="90" t="s">
        <v>352</v>
      </c>
    </row>
    <row r="7" spans="2:83" ht="30" customHeight="1" thickBot="1" x14ac:dyDescent="0.25">
      <c r="B7" s="87"/>
      <c r="C7" s="91"/>
      <c r="D7" s="92"/>
      <c r="E7" s="92"/>
      <c r="F7" s="92"/>
      <c r="G7" s="92"/>
      <c r="H7" s="92"/>
      <c r="I7" s="92"/>
      <c r="J7" s="92"/>
      <c r="K7" s="93"/>
      <c r="L7" s="87"/>
      <c r="M7" s="90"/>
      <c r="N7" s="94"/>
    </row>
    <row r="8" spans="2:83" s="103" customFormat="1" ht="30" customHeight="1" thickBot="1" x14ac:dyDescent="0.25">
      <c r="B8" s="95"/>
      <c r="C8" s="96"/>
      <c r="D8" s="97"/>
      <c r="E8" s="98"/>
      <c r="F8" s="99"/>
      <c r="G8" s="99"/>
      <c r="H8" s="99"/>
      <c r="I8" s="98"/>
      <c r="J8" s="97"/>
      <c r="K8" s="100"/>
      <c r="L8" s="89"/>
      <c r="M8" s="101">
        <v>2</v>
      </c>
      <c r="N8" s="102">
        <v>0.95450000000000002</v>
      </c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CD8" s="86"/>
      <c r="CE8" s="86"/>
    </row>
    <row r="9" spans="2:83" s="103" customFormat="1" ht="30" customHeight="1" thickBot="1" x14ac:dyDescent="0.25">
      <c r="B9" s="95"/>
      <c r="C9" s="104"/>
      <c r="D9" s="105"/>
      <c r="E9" s="105"/>
      <c r="F9" s="105"/>
      <c r="G9" s="105"/>
      <c r="H9" s="105"/>
      <c r="I9" s="105"/>
      <c r="J9" s="105"/>
      <c r="K9" s="106"/>
      <c r="L9" s="95"/>
      <c r="M9" s="87"/>
      <c r="N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CD9" s="86"/>
      <c r="CE9" s="86"/>
    </row>
    <row r="10" spans="2:83" s="103" customFormat="1" ht="30" customHeight="1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87"/>
      <c r="N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CD10" s="86"/>
      <c r="CE10" s="86"/>
    </row>
    <row r="11" spans="2:83" s="103" customFormat="1" ht="30" customHeight="1" thickBot="1" x14ac:dyDescent="0.2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87"/>
      <c r="N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CD11" s="86"/>
      <c r="CE11" s="86"/>
    </row>
    <row r="12" spans="2:83" s="103" customFormat="1" ht="30" customHeight="1" x14ac:dyDescent="0.2">
      <c r="B12" s="95"/>
      <c r="C12" s="976" t="s">
        <v>255</v>
      </c>
      <c r="D12" s="977"/>
      <c r="E12" s="977"/>
      <c r="F12" s="977"/>
      <c r="G12" s="977"/>
      <c r="H12" s="977"/>
      <c r="I12" s="977"/>
      <c r="J12" s="977"/>
      <c r="K12" s="977"/>
      <c r="L12" s="978"/>
      <c r="M12" s="87"/>
      <c r="N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CD12" s="86"/>
      <c r="CE12" s="86"/>
    </row>
    <row r="13" spans="2:83" ht="30" customHeight="1" thickBot="1" x14ac:dyDescent="0.25">
      <c r="B13" s="95"/>
      <c r="C13" s="979"/>
      <c r="D13" s="980"/>
      <c r="E13" s="980"/>
      <c r="F13" s="980"/>
      <c r="G13" s="980"/>
      <c r="H13" s="980"/>
      <c r="I13" s="980"/>
      <c r="J13" s="980"/>
      <c r="K13" s="980"/>
      <c r="L13" s="981"/>
      <c r="M13" s="87"/>
    </row>
    <row r="14" spans="2:83" ht="30" customHeight="1" x14ac:dyDescent="0.2">
      <c r="B14" s="95"/>
      <c r="C14" s="982" t="s">
        <v>134</v>
      </c>
      <c r="D14" s="984" t="s">
        <v>3</v>
      </c>
      <c r="E14" s="984" t="s">
        <v>9</v>
      </c>
      <c r="F14" s="984" t="s">
        <v>1</v>
      </c>
      <c r="G14" s="986" t="s">
        <v>45</v>
      </c>
      <c r="H14" s="986" t="s">
        <v>48</v>
      </c>
      <c r="I14" s="984" t="s">
        <v>266</v>
      </c>
      <c r="J14" s="988" t="s">
        <v>67</v>
      </c>
      <c r="K14" s="990" t="s">
        <v>137</v>
      </c>
      <c r="L14" s="992" t="s">
        <v>196</v>
      </c>
      <c r="M14" s="87"/>
    </row>
    <row r="15" spans="2:83" ht="30" customHeight="1" thickBot="1" x14ac:dyDescent="0.25">
      <c r="B15" s="95"/>
      <c r="C15" s="983"/>
      <c r="D15" s="985"/>
      <c r="E15" s="985"/>
      <c r="F15" s="985"/>
      <c r="G15" s="987"/>
      <c r="H15" s="987"/>
      <c r="I15" s="985"/>
      <c r="J15" s="989"/>
      <c r="K15" s="991"/>
      <c r="L15" s="993"/>
      <c r="M15" s="87"/>
    </row>
    <row r="16" spans="2:83" ht="30" customHeight="1" x14ac:dyDescent="0.2">
      <c r="B16" s="95"/>
      <c r="C16" s="91"/>
      <c r="D16" s="92"/>
      <c r="E16" s="92"/>
      <c r="F16" s="92"/>
      <c r="G16" s="92"/>
      <c r="H16" s="92"/>
      <c r="I16" s="92"/>
      <c r="J16" s="92"/>
      <c r="K16" s="92"/>
      <c r="L16" s="93"/>
      <c r="M16" s="87"/>
    </row>
    <row r="17" spans="2:46" ht="30" customHeight="1" x14ac:dyDescent="0.2">
      <c r="B17" s="95"/>
      <c r="C17" s="96"/>
      <c r="D17" s="99"/>
      <c r="E17" s="99"/>
      <c r="F17" s="99"/>
      <c r="G17" s="99"/>
      <c r="H17" s="99"/>
      <c r="I17" s="99"/>
      <c r="J17" s="99"/>
      <c r="K17" s="99"/>
      <c r="L17" s="107"/>
      <c r="M17" s="87"/>
    </row>
    <row r="18" spans="2:46" ht="30" customHeight="1" thickBot="1" x14ac:dyDescent="0.25">
      <c r="B18" s="95"/>
      <c r="C18" s="108"/>
      <c r="D18" s="109"/>
      <c r="E18" s="109"/>
      <c r="F18" s="109"/>
      <c r="G18" s="110"/>
      <c r="H18" s="110"/>
      <c r="I18" s="109"/>
      <c r="J18" s="109"/>
      <c r="K18" s="110"/>
      <c r="L18" s="111"/>
      <c r="M18" s="87"/>
    </row>
    <row r="19" spans="2:46" ht="30" customHeight="1" x14ac:dyDescent="0.2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7"/>
    </row>
    <row r="20" spans="2:46" ht="30" customHeight="1" x14ac:dyDescent="0.2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87"/>
      <c r="AS20" s="95"/>
      <c r="AT20" s="87"/>
    </row>
    <row r="21" spans="2:46" ht="30" customHeight="1" x14ac:dyDescent="0.2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87"/>
      <c r="AS21" s="95"/>
      <c r="AT21" s="87"/>
    </row>
    <row r="22" spans="2:46" ht="30" customHeight="1" thickBot="1" x14ac:dyDescent="0.2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87"/>
      <c r="AS22" s="95"/>
      <c r="AT22" s="87"/>
    </row>
    <row r="23" spans="2:46" ht="30" customHeight="1" x14ac:dyDescent="0.2">
      <c r="B23" s="95"/>
      <c r="C23" s="962" t="s">
        <v>262</v>
      </c>
      <c r="D23" s="963"/>
      <c r="E23" s="963"/>
      <c r="F23" s="963"/>
      <c r="G23" s="963"/>
      <c r="H23" s="963"/>
      <c r="I23" s="963"/>
      <c r="J23" s="963"/>
      <c r="K23" s="963"/>
      <c r="L23" s="963"/>
      <c r="M23" s="963"/>
      <c r="N23" s="963"/>
      <c r="O23" s="963"/>
      <c r="P23" s="963"/>
      <c r="Q23" s="963"/>
      <c r="R23" s="964"/>
      <c r="AS23" s="95"/>
      <c r="AT23" s="87"/>
    </row>
    <row r="24" spans="2:46" ht="30" customHeight="1" thickBot="1" x14ac:dyDescent="0.25">
      <c r="B24" s="95"/>
      <c r="C24" s="965"/>
      <c r="D24" s="966"/>
      <c r="E24" s="966"/>
      <c r="F24" s="966"/>
      <c r="G24" s="966"/>
      <c r="H24" s="966"/>
      <c r="I24" s="966"/>
      <c r="J24" s="966"/>
      <c r="K24" s="966"/>
      <c r="L24" s="966"/>
      <c r="M24" s="966"/>
      <c r="N24" s="966"/>
      <c r="O24" s="966"/>
      <c r="P24" s="966"/>
      <c r="Q24" s="966"/>
      <c r="R24" s="967"/>
      <c r="AS24" s="95"/>
      <c r="AT24" s="87"/>
    </row>
    <row r="25" spans="2:46" ht="30" customHeight="1" x14ac:dyDescent="0.2">
      <c r="B25" s="95"/>
      <c r="C25" s="968" t="s">
        <v>139</v>
      </c>
      <c r="D25" s="960" t="s">
        <v>0</v>
      </c>
      <c r="E25" s="960" t="s">
        <v>3</v>
      </c>
      <c r="F25" s="960" t="s">
        <v>1</v>
      </c>
      <c r="G25" s="960" t="s">
        <v>140</v>
      </c>
      <c r="H25" s="960" t="s">
        <v>138</v>
      </c>
      <c r="I25" s="956" t="s">
        <v>81</v>
      </c>
      <c r="J25" s="956" t="s">
        <v>141</v>
      </c>
      <c r="K25" s="958" t="s">
        <v>263</v>
      </c>
      <c r="L25" s="958" t="s">
        <v>264</v>
      </c>
      <c r="M25" s="960" t="s">
        <v>142</v>
      </c>
      <c r="N25" s="958" t="s">
        <v>269</v>
      </c>
      <c r="O25" s="956" t="s">
        <v>143</v>
      </c>
      <c r="P25" s="956" t="s">
        <v>307</v>
      </c>
      <c r="Q25" s="970" t="s">
        <v>144</v>
      </c>
      <c r="R25" s="972" t="s">
        <v>112</v>
      </c>
      <c r="AS25" s="95"/>
    </row>
    <row r="26" spans="2:46" ht="30" customHeight="1" thickBot="1" x14ac:dyDescent="0.25">
      <c r="B26" s="95"/>
      <c r="C26" s="969"/>
      <c r="D26" s="961"/>
      <c r="E26" s="961"/>
      <c r="F26" s="961"/>
      <c r="G26" s="961"/>
      <c r="H26" s="961"/>
      <c r="I26" s="957"/>
      <c r="J26" s="957"/>
      <c r="K26" s="959"/>
      <c r="L26" s="959"/>
      <c r="M26" s="961"/>
      <c r="N26" s="959"/>
      <c r="O26" s="957"/>
      <c r="P26" s="957"/>
      <c r="Q26" s="971"/>
      <c r="R26" s="973"/>
      <c r="AS26" s="95"/>
    </row>
    <row r="27" spans="2:46" ht="30" customHeight="1" thickBot="1" x14ac:dyDescent="0.25">
      <c r="B27" s="95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115"/>
      <c r="AS27" s="95"/>
    </row>
    <row r="28" spans="2:46" ht="30" customHeight="1" x14ac:dyDescent="0.2">
      <c r="B28" s="950" t="s">
        <v>272</v>
      </c>
      <c r="C28" s="116" t="s">
        <v>256</v>
      </c>
      <c r="D28" s="117" t="s">
        <v>261</v>
      </c>
      <c r="E28" s="117" t="s">
        <v>210</v>
      </c>
      <c r="F28" s="117" t="s">
        <v>211</v>
      </c>
      <c r="G28" s="117" t="s">
        <v>212</v>
      </c>
      <c r="H28" s="117" t="s">
        <v>267</v>
      </c>
      <c r="I28" s="118">
        <v>42683</v>
      </c>
      <c r="J28" s="117">
        <v>5</v>
      </c>
      <c r="K28" s="117">
        <v>5</v>
      </c>
      <c r="L28" s="117">
        <v>100</v>
      </c>
      <c r="M28" s="119">
        <v>0.09</v>
      </c>
      <c r="N28" s="120">
        <f>J28+(M28)/1000</f>
        <v>5.0000900000000001</v>
      </c>
      <c r="O28" s="117">
        <v>5.2999999999999999E-2</v>
      </c>
      <c r="P28" s="121">
        <v>0.88529999999999998</v>
      </c>
      <c r="Q28" s="117" t="s">
        <v>268</v>
      </c>
      <c r="R28" s="122" t="s">
        <v>274</v>
      </c>
      <c r="AS28" s="95"/>
    </row>
    <row r="29" spans="2:46" ht="30" customHeight="1" x14ac:dyDescent="0.2">
      <c r="B29" s="951"/>
      <c r="C29" s="123" t="s">
        <v>257</v>
      </c>
      <c r="D29" s="124" t="s">
        <v>261</v>
      </c>
      <c r="E29" s="124" t="s">
        <v>210</v>
      </c>
      <c r="F29" s="124" t="s">
        <v>211</v>
      </c>
      <c r="G29" s="124" t="s">
        <v>212</v>
      </c>
      <c r="H29" s="124" t="s">
        <v>267</v>
      </c>
      <c r="I29" s="125">
        <v>42683</v>
      </c>
      <c r="J29" s="124">
        <v>200</v>
      </c>
      <c r="K29" s="124">
        <v>10</v>
      </c>
      <c r="L29" s="124">
        <v>200</v>
      </c>
      <c r="M29" s="124">
        <v>0.05</v>
      </c>
      <c r="N29" s="126">
        <f t="shared" ref="N29:N32" si="0">J29+(M29)/1000</f>
        <v>200.00004999999999</v>
      </c>
      <c r="O29" s="127">
        <v>0.33</v>
      </c>
      <c r="P29" s="128">
        <v>0.88470000000000004</v>
      </c>
      <c r="Q29" s="124" t="s">
        <v>268</v>
      </c>
      <c r="R29" s="129" t="s">
        <v>274</v>
      </c>
      <c r="AS29" s="95"/>
    </row>
    <row r="30" spans="2:46" ht="30" customHeight="1" x14ac:dyDescent="0.2">
      <c r="B30" s="951"/>
      <c r="C30" s="123" t="s">
        <v>258</v>
      </c>
      <c r="D30" s="124" t="s">
        <v>261</v>
      </c>
      <c r="E30" s="124" t="s">
        <v>210</v>
      </c>
      <c r="F30" s="124" t="s">
        <v>211</v>
      </c>
      <c r="G30" s="124" t="s">
        <v>212</v>
      </c>
      <c r="H30" s="124" t="s">
        <v>267</v>
      </c>
      <c r="I30" s="125">
        <v>42683</v>
      </c>
      <c r="J30" s="124">
        <v>1000</v>
      </c>
      <c r="K30" s="124">
        <v>200</v>
      </c>
      <c r="L30" s="124">
        <v>500</v>
      </c>
      <c r="M30" s="124">
        <v>-0.2</v>
      </c>
      <c r="N30" s="130">
        <f t="shared" si="0"/>
        <v>999.99980000000005</v>
      </c>
      <c r="O30" s="131">
        <v>1.7</v>
      </c>
      <c r="P30" s="128">
        <v>0.88219999999999998</v>
      </c>
      <c r="Q30" s="124" t="s">
        <v>268</v>
      </c>
      <c r="R30" s="129" t="s">
        <v>274</v>
      </c>
      <c r="AS30" s="95"/>
    </row>
    <row r="31" spans="2:46" ht="30" customHeight="1" x14ac:dyDescent="0.2">
      <c r="B31" s="951"/>
      <c r="C31" s="123" t="s">
        <v>259</v>
      </c>
      <c r="D31" s="124" t="s">
        <v>261</v>
      </c>
      <c r="E31" s="124" t="s">
        <v>210</v>
      </c>
      <c r="F31" s="124" t="s">
        <v>211</v>
      </c>
      <c r="G31" s="124" t="s">
        <v>212</v>
      </c>
      <c r="H31" s="124" t="s">
        <v>267</v>
      </c>
      <c r="I31" s="125">
        <v>42683</v>
      </c>
      <c r="J31" s="124">
        <v>2000</v>
      </c>
      <c r="K31" s="124">
        <v>1000</v>
      </c>
      <c r="L31" s="124">
        <v>1000</v>
      </c>
      <c r="M31" s="124">
        <v>4.5999999999999996</v>
      </c>
      <c r="N31" s="130">
        <f t="shared" si="0"/>
        <v>2000.0046</v>
      </c>
      <c r="O31" s="124">
        <v>3.3</v>
      </c>
      <c r="P31" s="128">
        <v>0.88249999999999995</v>
      </c>
      <c r="Q31" s="124" t="s">
        <v>268</v>
      </c>
      <c r="R31" s="129" t="s">
        <v>274</v>
      </c>
      <c r="AS31" s="95"/>
    </row>
    <row r="32" spans="2:46" ht="30" customHeight="1" thickBot="1" x14ac:dyDescent="0.25">
      <c r="B32" s="952"/>
      <c r="C32" s="132" t="s">
        <v>260</v>
      </c>
      <c r="D32" s="133" t="s">
        <v>261</v>
      </c>
      <c r="E32" s="133" t="s">
        <v>210</v>
      </c>
      <c r="F32" s="133" t="s">
        <v>211</v>
      </c>
      <c r="G32" s="133" t="s">
        <v>212</v>
      </c>
      <c r="H32" s="133" t="s">
        <v>267</v>
      </c>
      <c r="I32" s="134">
        <v>42683</v>
      </c>
      <c r="J32" s="133">
        <v>5000</v>
      </c>
      <c r="K32" s="133">
        <v>2000</v>
      </c>
      <c r="L32" s="133">
        <v>2000</v>
      </c>
      <c r="M32" s="133">
        <v>4.8</v>
      </c>
      <c r="N32" s="135">
        <f t="shared" si="0"/>
        <v>5000.0047999999997</v>
      </c>
      <c r="O32" s="133">
        <v>8.3000000000000007</v>
      </c>
      <c r="P32" s="136">
        <v>0.88319999999999999</v>
      </c>
      <c r="Q32" s="133" t="s">
        <v>268</v>
      </c>
      <c r="R32" s="137" t="s">
        <v>274</v>
      </c>
      <c r="AS32" s="95"/>
    </row>
    <row r="33" spans="2:45" ht="30" customHeight="1" x14ac:dyDescent="0.2">
      <c r="B33" s="138"/>
      <c r="C33" s="116"/>
      <c r="D33" s="117"/>
      <c r="E33" s="117"/>
      <c r="F33" s="117"/>
      <c r="G33" s="117"/>
      <c r="H33" s="117"/>
      <c r="I33" s="118"/>
      <c r="J33" s="117"/>
      <c r="K33" s="117"/>
      <c r="L33" s="117"/>
      <c r="M33" s="117"/>
      <c r="N33" s="139"/>
      <c r="O33" s="117"/>
      <c r="P33" s="117"/>
      <c r="Q33" s="117"/>
      <c r="R33" s="122"/>
      <c r="AS33" s="95"/>
    </row>
    <row r="34" spans="2:45" ht="30" customHeight="1" x14ac:dyDescent="0.2">
      <c r="B34" s="138"/>
      <c r="C34" s="123"/>
      <c r="D34" s="124"/>
      <c r="E34" s="124"/>
      <c r="F34" s="124"/>
      <c r="G34" s="124"/>
      <c r="H34" s="124"/>
      <c r="I34" s="125"/>
      <c r="J34" s="124"/>
      <c r="K34" s="124"/>
      <c r="L34" s="124"/>
      <c r="M34" s="124"/>
      <c r="N34" s="130"/>
      <c r="O34" s="124"/>
      <c r="P34" s="124"/>
      <c r="Q34" s="124"/>
      <c r="R34" s="140"/>
      <c r="AS34" s="95"/>
    </row>
    <row r="35" spans="2:45" ht="30" customHeight="1" x14ac:dyDescent="0.2">
      <c r="B35" s="138"/>
      <c r="C35" s="123"/>
      <c r="D35" s="124"/>
      <c r="E35" s="124"/>
      <c r="F35" s="124"/>
      <c r="G35" s="124"/>
      <c r="H35" s="124"/>
      <c r="I35" s="125"/>
      <c r="J35" s="124"/>
      <c r="K35" s="124"/>
      <c r="L35" s="124"/>
      <c r="M35" s="124"/>
      <c r="N35" s="130"/>
      <c r="O35" s="124"/>
      <c r="P35" s="124"/>
      <c r="Q35" s="124"/>
      <c r="R35" s="140"/>
      <c r="AS35" s="95"/>
    </row>
    <row r="36" spans="2:45" ht="30" customHeight="1" thickBot="1" x14ac:dyDescent="0.25">
      <c r="B36" s="138"/>
      <c r="C36" s="141"/>
      <c r="D36" s="142"/>
      <c r="E36" s="142"/>
      <c r="F36" s="142"/>
      <c r="G36" s="142"/>
      <c r="H36" s="142"/>
      <c r="I36" s="143"/>
      <c r="J36" s="142"/>
      <c r="K36" s="142"/>
      <c r="L36" s="142"/>
      <c r="M36" s="142"/>
      <c r="N36" s="144"/>
      <c r="O36" s="142"/>
      <c r="P36" s="142"/>
      <c r="Q36" s="142"/>
      <c r="R36" s="145"/>
      <c r="AS36" s="95"/>
    </row>
    <row r="37" spans="2:45" ht="30" customHeight="1" thickBot="1" x14ac:dyDescent="0.25">
      <c r="B37" s="95"/>
      <c r="C37" s="146"/>
      <c r="D37" s="147"/>
      <c r="E37" s="147"/>
      <c r="F37" s="147"/>
      <c r="G37" s="147"/>
      <c r="H37" s="147"/>
      <c r="I37" s="147"/>
      <c r="J37" s="147"/>
      <c r="M37" s="147"/>
      <c r="N37" s="147"/>
      <c r="O37" s="147"/>
      <c r="P37" s="148"/>
      <c r="Q37" s="147"/>
      <c r="R37" s="137"/>
      <c r="AS37" s="95"/>
    </row>
    <row r="38" spans="2:45" ht="30" customHeight="1" x14ac:dyDescent="0.2">
      <c r="B38" s="953" t="s">
        <v>276</v>
      </c>
      <c r="C38" s="116" t="s">
        <v>145</v>
      </c>
      <c r="D38" s="117" t="s">
        <v>146</v>
      </c>
      <c r="E38" s="117" t="s">
        <v>131</v>
      </c>
      <c r="F38" s="117">
        <v>27129360</v>
      </c>
      <c r="G38" s="117" t="s">
        <v>147</v>
      </c>
      <c r="H38" s="117">
        <v>1230</v>
      </c>
      <c r="I38" s="118">
        <v>42631</v>
      </c>
      <c r="J38" s="117">
        <v>1</v>
      </c>
      <c r="K38" s="117">
        <v>4000</v>
      </c>
      <c r="L38" s="117">
        <v>5000</v>
      </c>
      <c r="M38" s="117">
        <v>6.0000000000000001E-3</v>
      </c>
      <c r="N38" s="120">
        <f>J38+(M38)/1000</f>
        <v>1.000006</v>
      </c>
      <c r="O38" s="119">
        <v>0.01</v>
      </c>
      <c r="P38" s="139">
        <f>(0.34848*((752.597+755.909)/2)-0.009024*((44.5+51.2)/2)*EXP(0.0612*((19.7+20.8)/2)))/(273.15+((19.7+20.8)/2))</f>
        <v>0.89076687525312348</v>
      </c>
      <c r="Q38" s="117" t="s">
        <v>148</v>
      </c>
      <c r="R38" s="122" t="s">
        <v>275</v>
      </c>
      <c r="AS38" s="95"/>
    </row>
    <row r="39" spans="2:45" ht="30" customHeight="1" x14ac:dyDescent="0.2">
      <c r="B39" s="954"/>
      <c r="C39" s="123" t="s">
        <v>149</v>
      </c>
      <c r="D39" s="124" t="s">
        <v>146</v>
      </c>
      <c r="E39" s="124" t="s">
        <v>131</v>
      </c>
      <c r="F39" s="124">
        <v>27129360</v>
      </c>
      <c r="G39" s="124" t="s">
        <v>150</v>
      </c>
      <c r="H39" s="124">
        <v>1230</v>
      </c>
      <c r="I39" s="125">
        <v>42631</v>
      </c>
      <c r="J39" s="124">
        <v>2</v>
      </c>
      <c r="K39" s="124">
        <v>5000</v>
      </c>
      <c r="L39" s="149">
        <v>6000</v>
      </c>
      <c r="M39" s="124">
        <v>6.0000000000000001E-3</v>
      </c>
      <c r="N39" s="150">
        <f t="shared" ref="N39:N88" si="1">J39+(M39)/1000</f>
        <v>2.000006</v>
      </c>
      <c r="O39" s="124">
        <v>1.2E-2</v>
      </c>
      <c r="P39" s="130">
        <f t="shared" ref="P39:P54" si="2">(0.34848*((752.597+755.909)/2)-0.009024*((44.5+51.2)/2)*EXP(0.0612*((19.7+20.8)/2)))/(273.15+((19.7+20.8)/2))</f>
        <v>0.89076687525312348</v>
      </c>
      <c r="Q39" s="124" t="str">
        <f t="shared" ref="Q39:Q54" si="3">Q38</f>
        <v>M-001</v>
      </c>
      <c r="R39" s="140" t="s">
        <v>275</v>
      </c>
      <c r="AS39" s="95"/>
    </row>
    <row r="40" spans="2:45" ht="30" customHeight="1" x14ac:dyDescent="0.2">
      <c r="B40" s="954"/>
      <c r="C40" s="123" t="s">
        <v>151</v>
      </c>
      <c r="D40" s="124" t="s">
        <v>146</v>
      </c>
      <c r="E40" s="124" t="s">
        <v>131</v>
      </c>
      <c r="F40" s="124">
        <v>27129360</v>
      </c>
      <c r="G40" s="124" t="s">
        <v>152</v>
      </c>
      <c r="H40" s="124">
        <v>1230</v>
      </c>
      <c r="I40" s="125">
        <v>42631</v>
      </c>
      <c r="J40" s="124">
        <v>2</v>
      </c>
      <c r="K40" s="124">
        <v>10000</v>
      </c>
      <c r="L40" s="149">
        <v>7000</v>
      </c>
      <c r="M40" s="124">
        <v>1.2999999999999999E-2</v>
      </c>
      <c r="N40" s="150">
        <f t="shared" si="1"/>
        <v>2.000013</v>
      </c>
      <c r="O40" s="124">
        <v>1.2E-2</v>
      </c>
      <c r="P40" s="130">
        <f t="shared" si="2"/>
        <v>0.89076687525312348</v>
      </c>
      <c r="Q40" s="124" t="str">
        <f t="shared" si="3"/>
        <v>M-001</v>
      </c>
      <c r="R40" s="140" t="s">
        <v>275</v>
      </c>
      <c r="AS40" s="95"/>
    </row>
    <row r="41" spans="2:45" ht="30" customHeight="1" x14ac:dyDescent="0.2">
      <c r="B41" s="954"/>
      <c r="C41" s="123" t="s">
        <v>153</v>
      </c>
      <c r="D41" s="124" t="s">
        <v>146</v>
      </c>
      <c r="E41" s="124" t="s">
        <v>131</v>
      </c>
      <c r="F41" s="124">
        <v>27129360</v>
      </c>
      <c r="G41" s="124" t="s">
        <v>154</v>
      </c>
      <c r="H41" s="124">
        <v>1230</v>
      </c>
      <c r="I41" s="125">
        <v>42631</v>
      </c>
      <c r="J41" s="124">
        <v>5</v>
      </c>
      <c r="K41" s="124">
        <v>15000</v>
      </c>
      <c r="L41" s="149">
        <v>8000</v>
      </c>
      <c r="M41" s="151">
        <v>-2E-3</v>
      </c>
      <c r="N41" s="150">
        <f t="shared" si="1"/>
        <v>4.9999979999999997</v>
      </c>
      <c r="O41" s="124">
        <v>1.6E-2</v>
      </c>
      <c r="P41" s="130">
        <f t="shared" si="2"/>
        <v>0.89076687525312348</v>
      </c>
      <c r="Q41" s="124" t="str">
        <f t="shared" si="3"/>
        <v>M-001</v>
      </c>
      <c r="R41" s="140" t="s">
        <v>275</v>
      </c>
      <c r="AS41" s="95"/>
    </row>
    <row r="42" spans="2:45" ht="30" customHeight="1" x14ac:dyDescent="0.2">
      <c r="B42" s="954"/>
      <c r="C42" s="123" t="s">
        <v>155</v>
      </c>
      <c r="D42" s="124" t="s">
        <v>146</v>
      </c>
      <c r="E42" s="124" t="s">
        <v>131</v>
      </c>
      <c r="F42" s="124">
        <v>27129360</v>
      </c>
      <c r="G42" s="124" t="s">
        <v>156</v>
      </c>
      <c r="H42" s="124">
        <v>1230</v>
      </c>
      <c r="I42" s="125">
        <v>42631</v>
      </c>
      <c r="J42" s="124">
        <v>10</v>
      </c>
      <c r="K42" s="124">
        <v>20000</v>
      </c>
      <c r="L42" s="149">
        <v>8200</v>
      </c>
      <c r="M42" s="124">
        <v>4.0000000000000001E-3</v>
      </c>
      <c r="N42" s="150">
        <f t="shared" si="1"/>
        <v>10.000004000000001</v>
      </c>
      <c r="O42" s="151">
        <v>0.02</v>
      </c>
      <c r="P42" s="130">
        <f t="shared" si="2"/>
        <v>0.89076687525312348</v>
      </c>
      <c r="Q42" s="124" t="str">
        <f t="shared" si="3"/>
        <v>M-001</v>
      </c>
      <c r="R42" s="140" t="s">
        <v>275</v>
      </c>
      <c r="AS42" s="95"/>
    </row>
    <row r="43" spans="2:45" ht="30" customHeight="1" x14ac:dyDescent="0.2">
      <c r="B43" s="954"/>
      <c r="C43" s="123" t="s">
        <v>157</v>
      </c>
      <c r="D43" s="124" t="s">
        <v>146</v>
      </c>
      <c r="E43" s="124" t="s">
        <v>131</v>
      </c>
      <c r="F43" s="124">
        <v>27129360</v>
      </c>
      <c r="G43" s="124" t="s">
        <v>158</v>
      </c>
      <c r="H43" s="124">
        <v>1230</v>
      </c>
      <c r="I43" s="125">
        <v>42631</v>
      </c>
      <c r="J43" s="124">
        <v>20</v>
      </c>
      <c r="K43" s="124">
        <v>25000</v>
      </c>
      <c r="L43" s="149">
        <v>10000</v>
      </c>
      <c r="M43" s="124">
        <v>2.7E-2</v>
      </c>
      <c r="N43" s="150">
        <f t="shared" si="1"/>
        <v>20.000026999999999</v>
      </c>
      <c r="O43" s="124">
        <v>2.5000000000000001E-2</v>
      </c>
      <c r="P43" s="130">
        <f t="shared" si="2"/>
        <v>0.89076687525312348</v>
      </c>
      <c r="Q43" s="124" t="str">
        <f t="shared" si="3"/>
        <v>M-001</v>
      </c>
      <c r="R43" s="140" t="s">
        <v>275</v>
      </c>
      <c r="AS43" s="95"/>
    </row>
    <row r="44" spans="2:45" ht="30" customHeight="1" x14ac:dyDescent="0.2">
      <c r="B44" s="954"/>
      <c r="C44" s="123" t="s">
        <v>159</v>
      </c>
      <c r="D44" s="124" t="s">
        <v>146</v>
      </c>
      <c r="E44" s="124" t="s">
        <v>131</v>
      </c>
      <c r="F44" s="124">
        <v>27129360</v>
      </c>
      <c r="G44" s="124" t="s">
        <v>160</v>
      </c>
      <c r="H44" s="124">
        <v>1230</v>
      </c>
      <c r="I44" s="125">
        <v>42631</v>
      </c>
      <c r="J44" s="124">
        <v>20</v>
      </c>
      <c r="K44" s="124">
        <v>30000</v>
      </c>
      <c r="L44" s="149">
        <v>12000</v>
      </c>
      <c r="M44" s="124">
        <v>7.0000000000000001E-3</v>
      </c>
      <c r="N44" s="150">
        <f t="shared" si="1"/>
        <v>20.000007</v>
      </c>
      <c r="O44" s="124">
        <v>2.5000000000000001E-2</v>
      </c>
      <c r="P44" s="130">
        <f t="shared" si="2"/>
        <v>0.89076687525312348</v>
      </c>
      <c r="Q44" s="124" t="str">
        <f t="shared" si="3"/>
        <v>M-001</v>
      </c>
      <c r="R44" s="140" t="s">
        <v>275</v>
      </c>
      <c r="AS44" s="95"/>
    </row>
    <row r="45" spans="2:45" ht="30" customHeight="1" x14ac:dyDescent="0.2">
      <c r="B45" s="954"/>
      <c r="C45" s="123" t="s">
        <v>161</v>
      </c>
      <c r="D45" s="124" t="s">
        <v>146</v>
      </c>
      <c r="E45" s="124" t="s">
        <v>131</v>
      </c>
      <c r="F45" s="124">
        <v>27129360</v>
      </c>
      <c r="G45" s="124" t="s">
        <v>162</v>
      </c>
      <c r="H45" s="124">
        <v>1230</v>
      </c>
      <c r="I45" s="125">
        <v>42631</v>
      </c>
      <c r="J45" s="124">
        <v>50</v>
      </c>
      <c r="K45" s="124">
        <v>40000</v>
      </c>
      <c r="L45" s="149">
        <v>15000</v>
      </c>
      <c r="M45" s="124">
        <v>0.03</v>
      </c>
      <c r="N45" s="126">
        <f t="shared" si="1"/>
        <v>50.000030000000002</v>
      </c>
      <c r="O45" s="124">
        <v>0.03</v>
      </c>
      <c r="P45" s="130">
        <f t="shared" si="2"/>
        <v>0.89076687525312348</v>
      </c>
      <c r="Q45" s="124" t="str">
        <f t="shared" si="3"/>
        <v>M-001</v>
      </c>
      <c r="R45" s="140" t="s">
        <v>275</v>
      </c>
      <c r="AS45" s="95"/>
    </row>
    <row r="46" spans="2:45" ht="30" customHeight="1" x14ac:dyDescent="0.2">
      <c r="B46" s="954"/>
      <c r="C46" s="123" t="s">
        <v>163</v>
      </c>
      <c r="D46" s="124" t="s">
        <v>146</v>
      </c>
      <c r="E46" s="124" t="s">
        <v>131</v>
      </c>
      <c r="F46" s="124">
        <v>27129360</v>
      </c>
      <c r="G46" s="124" t="s">
        <v>164</v>
      </c>
      <c r="H46" s="124">
        <v>1230</v>
      </c>
      <c r="I46" s="125">
        <v>42631</v>
      </c>
      <c r="J46" s="124">
        <v>100</v>
      </c>
      <c r="K46" s="152"/>
      <c r="L46" s="153">
        <v>20000</v>
      </c>
      <c r="M46" s="124">
        <v>0.06</v>
      </c>
      <c r="N46" s="126">
        <f t="shared" si="1"/>
        <v>100.00006</v>
      </c>
      <c r="O46" s="124">
        <v>0.05</v>
      </c>
      <c r="P46" s="130">
        <f t="shared" si="2"/>
        <v>0.89076687525312348</v>
      </c>
      <c r="Q46" s="124" t="str">
        <f t="shared" si="3"/>
        <v>M-001</v>
      </c>
      <c r="R46" s="140" t="s">
        <v>275</v>
      </c>
      <c r="AS46" s="95"/>
    </row>
    <row r="47" spans="2:45" ht="30" customHeight="1" x14ac:dyDescent="0.2">
      <c r="B47" s="954"/>
      <c r="C47" s="123" t="s">
        <v>165</v>
      </c>
      <c r="D47" s="124" t="s">
        <v>146</v>
      </c>
      <c r="E47" s="124" t="s">
        <v>131</v>
      </c>
      <c r="F47" s="124">
        <v>27129360</v>
      </c>
      <c r="G47" s="124" t="s">
        <v>166</v>
      </c>
      <c r="H47" s="124">
        <v>1230</v>
      </c>
      <c r="I47" s="125">
        <v>42631</v>
      </c>
      <c r="J47" s="124">
        <v>200</v>
      </c>
      <c r="K47" s="152"/>
      <c r="L47" s="153">
        <v>25000</v>
      </c>
      <c r="M47" s="124">
        <v>-0.06</v>
      </c>
      <c r="N47" s="126">
        <f t="shared" si="1"/>
        <v>199.99994000000001</v>
      </c>
      <c r="O47" s="127">
        <v>0.1</v>
      </c>
      <c r="P47" s="130">
        <f t="shared" si="2"/>
        <v>0.89076687525312348</v>
      </c>
      <c r="Q47" s="124" t="str">
        <f t="shared" si="3"/>
        <v>M-001</v>
      </c>
      <c r="R47" s="140" t="s">
        <v>275</v>
      </c>
      <c r="AS47" s="95"/>
    </row>
    <row r="48" spans="2:45" ht="30" customHeight="1" x14ac:dyDescent="0.2">
      <c r="B48" s="954"/>
      <c r="C48" s="123" t="s">
        <v>167</v>
      </c>
      <c r="D48" s="124" t="s">
        <v>146</v>
      </c>
      <c r="E48" s="124" t="s">
        <v>131</v>
      </c>
      <c r="F48" s="124">
        <v>27129360</v>
      </c>
      <c r="G48" s="124" t="s">
        <v>168</v>
      </c>
      <c r="H48" s="124">
        <v>1230</v>
      </c>
      <c r="I48" s="125">
        <v>42631</v>
      </c>
      <c r="J48" s="124">
        <v>200</v>
      </c>
      <c r="K48" s="152"/>
      <c r="L48" s="153">
        <v>30000</v>
      </c>
      <c r="M48" s="124">
        <v>0.16</v>
      </c>
      <c r="N48" s="126">
        <f t="shared" si="1"/>
        <v>200.00015999999999</v>
      </c>
      <c r="O48" s="127">
        <v>0.1</v>
      </c>
      <c r="P48" s="130">
        <f t="shared" si="2"/>
        <v>0.89076687525312348</v>
      </c>
      <c r="Q48" s="124" t="str">
        <f t="shared" si="3"/>
        <v>M-001</v>
      </c>
      <c r="R48" s="140" t="s">
        <v>275</v>
      </c>
      <c r="AS48" s="95"/>
    </row>
    <row r="49" spans="2:48" ht="30" customHeight="1" x14ac:dyDescent="0.2">
      <c r="B49" s="954"/>
      <c r="C49" s="123" t="s">
        <v>169</v>
      </c>
      <c r="D49" s="124" t="s">
        <v>146</v>
      </c>
      <c r="E49" s="124" t="s">
        <v>131</v>
      </c>
      <c r="F49" s="124">
        <v>27129360</v>
      </c>
      <c r="G49" s="124" t="s">
        <v>170</v>
      </c>
      <c r="H49" s="124">
        <v>1230</v>
      </c>
      <c r="I49" s="125">
        <v>42631</v>
      </c>
      <c r="J49" s="124">
        <v>500</v>
      </c>
      <c r="K49" s="152"/>
      <c r="L49" s="153">
        <v>35000</v>
      </c>
      <c r="M49" s="124">
        <v>0.35</v>
      </c>
      <c r="N49" s="126">
        <f t="shared" si="1"/>
        <v>500.00035000000003</v>
      </c>
      <c r="O49" s="124">
        <v>0.25</v>
      </c>
      <c r="P49" s="130">
        <f t="shared" si="2"/>
        <v>0.89076687525312348</v>
      </c>
      <c r="Q49" s="124" t="str">
        <f t="shared" si="3"/>
        <v>M-001</v>
      </c>
      <c r="R49" s="140" t="s">
        <v>275</v>
      </c>
      <c r="AS49" s="95"/>
    </row>
    <row r="50" spans="2:48" ht="30" customHeight="1" x14ac:dyDescent="0.2">
      <c r="B50" s="954"/>
      <c r="C50" s="123" t="s">
        <v>171</v>
      </c>
      <c r="D50" s="124" t="s">
        <v>146</v>
      </c>
      <c r="E50" s="124" t="s">
        <v>131</v>
      </c>
      <c r="F50" s="124">
        <v>27129360</v>
      </c>
      <c r="G50" s="124" t="s">
        <v>172</v>
      </c>
      <c r="H50" s="124">
        <v>1230</v>
      </c>
      <c r="I50" s="125">
        <v>42631</v>
      </c>
      <c r="J50" s="124">
        <v>1000</v>
      </c>
      <c r="K50" s="152"/>
      <c r="L50" s="153">
        <v>40000</v>
      </c>
      <c r="M50" s="124">
        <v>0.7</v>
      </c>
      <c r="N50" s="130">
        <f t="shared" si="1"/>
        <v>1000.0007000000001</v>
      </c>
      <c r="O50" s="124">
        <v>0.5</v>
      </c>
      <c r="P50" s="130">
        <f t="shared" si="2"/>
        <v>0.89076687525312348</v>
      </c>
      <c r="Q50" s="124" t="str">
        <f t="shared" si="3"/>
        <v>M-001</v>
      </c>
      <c r="R50" s="140" t="s">
        <v>275</v>
      </c>
      <c r="AS50" s="95"/>
    </row>
    <row r="51" spans="2:48" ht="30" customHeight="1" x14ac:dyDescent="0.2">
      <c r="B51" s="954"/>
      <c r="C51" s="123" t="s">
        <v>173</v>
      </c>
      <c r="D51" s="124" t="s">
        <v>146</v>
      </c>
      <c r="E51" s="124" t="s">
        <v>131</v>
      </c>
      <c r="F51" s="124">
        <v>27129360</v>
      </c>
      <c r="G51" s="124" t="s">
        <v>174</v>
      </c>
      <c r="H51" s="124">
        <v>1230</v>
      </c>
      <c r="I51" s="125">
        <v>42631</v>
      </c>
      <c r="J51" s="124">
        <v>2000</v>
      </c>
      <c r="K51" s="152"/>
      <c r="L51" s="153">
        <v>45000</v>
      </c>
      <c r="M51" s="124">
        <v>1.2</v>
      </c>
      <c r="N51" s="130">
        <f t="shared" si="1"/>
        <v>2000.0011999999999</v>
      </c>
      <c r="O51" s="131">
        <v>1</v>
      </c>
      <c r="P51" s="130">
        <f t="shared" si="2"/>
        <v>0.89076687525312348</v>
      </c>
      <c r="Q51" s="124" t="str">
        <f t="shared" si="3"/>
        <v>M-001</v>
      </c>
      <c r="R51" s="140" t="s">
        <v>275</v>
      </c>
      <c r="AS51" s="95"/>
    </row>
    <row r="52" spans="2:48" ht="30" customHeight="1" x14ac:dyDescent="0.2">
      <c r="B52" s="954"/>
      <c r="C52" s="123" t="s">
        <v>175</v>
      </c>
      <c r="D52" s="124" t="s">
        <v>146</v>
      </c>
      <c r="E52" s="124" t="s">
        <v>131</v>
      </c>
      <c r="F52" s="124">
        <v>27129360</v>
      </c>
      <c r="G52" s="124" t="s">
        <v>176</v>
      </c>
      <c r="H52" s="124">
        <v>1230</v>
      </c>
      <c r="I52" s="125">
        <v>42631</v>
      </c>
      <c r="J52" s="124">
        <v>2000</v>
      </c>
      <c r="K52" s="153"/>
      <c r="L52" s="153">
        <v>50000</v>
      </c>
      <c r="M52" s="124">
        <v>1.1000000000000001</v>
      </c>
      <c r="N52" s="130">
        <f t="shared" si="1"/>
        <v>2000.0011</v>
      </c>
      <c r="O52" s="131">
        <v>1</v>
      </c>
      <c r="P52" s="130">
        <f t="shared" si="2"/>
        <v>0.89076687525312348</v>
      </c>
      <c r="Q52" s="124" t="str">
        <f t="shared" si="3"/>
        <v>M-001</v>
      </c>
      <c r="R52" s="140" t="s">
        <v>275</v>
      </c>
      <c r="AS52" s="95"/>
    </row>
    <row r="53" spans="2:48" ht="30" customHeight="1" x14ac:dyDescent="0.2">
      <c r="B53" s="954"/>
      <c r="C53" s="123" t="s">
        <v>177</v>
      </c>
      <c r="D53" s="124" t="s">
        <v>146</v>
      </c>
      <c r="E53" s="124" t="s">
        <v>131</v>
      </c>
      <c r="F53" s="124">
        <v>27129360</v>
      </c>
      <c r="G53" s="124" t="s">
        <v>178</v>
      </c>
      <c r="H53" s="124">
        <v>1230</v>
      </c>
      <c r="I53" s="125">
        <v>42631</v>
      </c>
      <c r="J53" s="124">
        <v>5000</v>
      </c>
      <c r="K53" s="153"/>
      <c r="L53" s="152"/>
      <c r="M53" s="124">
        <v>3.7</v>
      </c>
      <c r="N53" s="130">
        <f t="shared" si="1"/>
        <v>5000.0037000000002</v>
      </c>
      <c r="O53" s="124">
        <v>2.5</v>
      </c>
      <c r="P53" s="130">
        <f t="shared" si="2"/>
        <v>0.89076687525312348</v>
      </c>
      <c r="Q53" s="124" t="str">
        <f t="shared" si="3"/>
        <v>M-001</v>
      </c>
      <c r="R53" s="140" t="s">
        <v>275</v>
      </c>
      <c r="AS53" s="95"/>
    </row>
    <row r="54" spans="2:48" ht="30" customHeight="1" thickBot="1" x14ac:dyDescent="0.25">
      <c r="B54" s="955"/>
      <c r="C54" s="141" t="s">
        <v>179</v>
      </c>
      <c r="D54" s="142" t="s">
        <v>146</v>
      </c>
      <c r="E54" s="142" t="s">
        <v>131</v>
      </c>
      <c r="F54" s="142">
        <v>27129360</v>
      </c>
      <c r="G54" s="142" t="s">
        <v>180</v>
      </c>
      <c r="H54" s="142">
        <v>1230</v>
      </c>
      <c r="I54" s="143">
        <v>42631</v>
      </c>
      <c r="J54" s="142">
        <v>10000</v>
      </c>
      <c r="K54" s="154"/>
      <c r="L54" s="155"/>
      <c r="M54" s="142">
        <v>8.6999999999999993</v>
      </c>
      <c r="N54" s="144">
        <f t="shared" si="1"/>
        <v>10000.0087</v>
      </c>
      <c r="O54" s="156">
        <v>5</v>
      </c>
      <c r="P54" s="144">
        <f t="shared" si="2"/>
        <v>0.89076687525312348</v>
      </c>
      <c r="Q54" s="142" t="str">
        <f t="shared" si="3"/>
        <v>M-001</v>
      </c>
      <c r="R54" s="145" t="s">
        <v>275</v>
      </c>
      <c r="AS54" s="95"/>
    </row>
    <row r="55" spans="2:48" ht="30" customHeight="1" x14ac:dyDescent="0.2">
      <c r="B55" s="937" t="s">
        <v>277</v>
      </c>
      <c r="C55" s="157" t="s">
        <v>181</v>
      </c>
      <c r="D55" s="158" t="s">
        <v>182</v>
      </c>
      <c r="E55" s="158" t="s">
        <v>280</v>
      </c>
      <c r="F55" s="158">
        <v>11119515</v>
      </c>
      <c r="G55" s="158">
        <v>1</v>
      </c>
      <c r="H55" s="158">
        <v>100405</v>
      </c>
      <c r="I55" s="159">
        <v>42615</v>
      </c>
      <c r="J55" s="158">
        <v>1</v>
      </c>
      <c r="K55" s="160"/>
      <c r="L55" s="161"/>
      <c r="M55" s="158">
        <v>0.04</v>
      </c>
      <c r="N55" s="162">
        <f t="shared" si="1"/>
        <v>1.00004</v>
      </c>
      <c r="O55" s="158">
        <v>0.03</v>
      </c>
      <c r="P55" s="163">
        <f>(0.34848*((750.3+756.2)/2)-0.009024*((43.6+60.2)/2)*EXP(0.0612*((19.1+21.1)/2)))/(273.15+((19.1+21.1)/2))</f>
        <v>0.88965063908070108</v>
      </c>
      <c r="Q55" s="158" t="s">
        <v>183</v>
      </c>
      <c r="R55" s="129" t="s">
        <v>275</v>
      </c>
      <c r="AS55" s="95"/>
      <c r="AT55" s="87"/>
      <c r="AU55" s="87"/>
    </row>
    <row r="56" spans="2:48" ht="30" customHeight="1" x14ac:dyDescent="0.2">
      <c r="B56" s="937"/>
      <c r="C56" s="123" t="s">
        <v>184</v>
      </c>
      <c r="D56" s="124" t="s">
        <v>182</v>
      </c>
      <c r="E56" s="124" t="s">
        <v>280</v>
      </c>
      <c r="F56" s="124">
        <v>11119515</v>
      </c>
      <c r="G56" s="124" t="s">
        <v>186</v>
      </c>
      <c r="H56" s="124">
        <v>100405</v>
      </c>
      <c r="I56" s="125">
        <f>I55</f>
        <v>42615</v>
      </c>
      <c r="J56" s="124">
        <v>2</v>
      </c>
      <c r="K56" s="153"/>
      <c r="L56" s="152"/>
      <c r="M56" s="124">
        <v>0.06</v>
      </c>
      <c r="N56" s="126">
        <f t="shared" si="1"/>
        <v>2.0000599999999999</v>
      </c>
      <c r="O56" s="124">
        <v>0.04</v>
      </c>
      <c r="P56" s="163">
        <f t="shared" ref="P56:P70" si="4">(0.34848*((750.3+756.2)/2)-0.009024*((43.6+60.2)/2)*EXP(0.0612*((19.1+21.1)/2)))/(273.15+((19.1+21.1)/2))</f>
        <v>0.88965063908070108</v>
      </c>
      <c r="Q56" s="124" t="str">
        <f t="shared" ref="Q56:Q70" si="5">Q55</f>
        <v>M-002</v>
      </c>
      <c r="R56" s="129" t="s">
        <v>275</v>
      </c>
      <c r="AS56" s="95"/>
      <c r="AT56" s="87"/>
      <c r="AU56" s="87"/>
    </row>
    <row r="57" spans="2:48" ht="30" customHeight="1" x14ac:dyDescent="0.2">
      <c r="B57" s="937"/>
      <c r="C57" s="123" t="s">
        <v>185</v>
      </c>
      <c r="D57" s="124" t="s">
        <v>182</v>
      </c>
      <c r="E57" s="124" t="s">
        <v>280</v>
      </c>
      <c r="F57" s="124">
        <v>11119515</v>
      </c>
      <c r="G57" s="124">
        <v>2</v>
      </c>
      <c r="H57" s="124">
        <v>100405</v>
      </c>
      <c r="I57" s="125">
        <f t="shared" ref="I57:I70" si="6">I56</f>
        <v>42615</v>
      </c>
      <c r="J57" s="124">
        <v>2</v>
      </c>
      <c r="K57" s="153"/>
      <c r="L57" s="152"/>
      <c r="M57" s="124">
        <v>0.04</v>
      </c>
      <c r="N57" s="126">
        <f t="shared" si="1"/>
        <v>2.0000399999999998</v>
      </c>
      <c r="O57" s="124">
        <v>0.04</v>
      </c>
      <c r="P57" s="163">
        <f t="shared" si="4"/>
        <v>0.88965063908070108</v>
      </c>
      <c r="Q57" s="124" t="str">
        <f t="shared" si="5"/>
        <v>M-002</v>
      </c>
      <c r="R57" s="129" t="s">
        <v>275</v>
      </c>
      <c r="AS57" s="95"/>
      <c r="AT57" s="87"/>
      <c r="AU57" s="87"/>
    </row>
    <row r="58" spans="2:48" ht="30" customHeight="1" x14ac:dyDescent="0.2">
      <c r="B58" s="937"/>
      <c r="C58" s="123" t="s">
        <v>187</v>
      </c>
      <c r="D58" s="124" t="s">
        <v>182</v>
      </c>
      <c r="E58" s="124" t="s">
        <v>280</v>
      </c>
      <c r="F58" s="124">
        <v>11119515</v>
      </c>
      <c r="G58" s="124">
        <v>5</v>
      </c>
      <c r="H58" s="124">
        <v>100405</v>
      </c>
      <c r="I58" s="125">
        <f t="shared" si="6"/>
        <v>42615</v>
      </c>
      <c r="J58" s="124">
        <v>5</v>
      </c>
      <c r="K58" s="153"/>
      <c r="L58" s="152"/>
      <c r="M58" s="127">
        <v>0</v>
      </c>
      <c r="N58" s="126">
        <f t="shared" si="1"/>
        <v>5</v>
      </c>
      <c r="O58" s="124">
        <v>0.05</v>
      </c>
      <c r="P58" s="163">
        <f t="shared" si="4"/>
        <v>0.88965063908070108</v>
      </c>
      <c r="Q58" s="124" t="str">
        <f t="shared" si="5"/>
        <v>M-002</v>
      </c>
      <c r="R58" s="129" t="s">
        <v>275</v>
      </c>
      <c r="AS58" s="95"/>
      <c r="AT58" s="87"/>
      <c r="AU58" s="87"/>
    </row>
    <row r="59" spans="2:48" ht="30" customHeight="1" x14ac:dyDescent="0.2">
      <c r="B59" s="937"/>
      <c r="C59" s="123" t="s">
        <v>189</v>
      </c>
      <c r="D59" s="124" t="s">
        <v>182</v>
      </c>
      <c r="E59" s="124" t="s">
        <v>280</v>
      </c>
      <c r="F59" s="124">
        <v>11119515</v>
      </c>
      <c r="G59" s="124">
        <v>10</v>
      </c>
      <c r="H59" s="124">
        <v>100405</v>
      </c>
      <c r="I59" s="125">
        <f t="shared" si="6"/>
        <v>42615</v>
      </c>
      <c r="J59" s="124">
        <v>10</v>
      </c>
      <c r="K59" s="153"/>
      <c r="L59" s="152"/>
      <c r="M59" s="124">
        <v>0.05</v>
      </c>
      <c r="N59" s="126">
        <f t="shared" si="1"/>
        <v>10.00005</v>
      </c>
      <c r="O59" s="124">
        <v>0.06</v>
      </c>
      <c r="P59" s="163">
        <f t="shared" si="4"/>
        <v>0.88965063908070108</v>
      </c>
      <c r="Q59" s="124" t="str">
        <f t="shared" si="5"/>
        <v>M-002</v>
      </c>
      <c r="R59" s="129" t="s">
        <v>275</v>
      </c>
      <c r="AS59" s="95"/>
      <c r="AT59" s="87"/>
      <c r="AU59" s="87"/>
    </row>
    <row r="60" spans="2:48" ht="30" customHeight="1" x14ac:dyDescent="0.2">
      <c r="B60" s="937"/>
      <c r="C60" s="123" t="s">
        <v>191</v>
      </c>
      <c r="D60" s="124" t="s">
        <v>182</v>
      </c>
      <c r="E60" s="124" t="s">
        <v>280</v>
      </c>
      <c r="F60" s="124">
        <v>11119515</v>
      </c>
      <c r="G60" s="124" t="s">
        <v>193</v>
      </c>
      <c r="H60" s="124">
        <v>100405</v>
      </c>
      <c r="I60" s="125">
        <f t="shared" si="6"/>
        <v>42615</v>
      </c>
      <c r="J60" s="124">
        <v>20</v>
      </c>
      <c r="K60" s="153"/>
      <c r="L60" s="152"/>
      <c r="M60" s="124">
        <v>7.0000000000000007E-2</v>
      </c>
      <c r="N60" s="126">
        <f t="shared" si="1"/>
        <v>20.000070000000001</v>
      </c>
      <c r="O60" s="124">
        <v>0.08</v>
      </c>
      <c r="P60" s="163">
        <f t="shared" si="4"/>
        <v>0.88965063908070108</v>
      </c>
      <c r="Q60" s="124" t="str">
        <f t="shared" si="5"/>
        <v>M-002</v>
      </c>
      <c r="R60" s="129" t="s">
        <v>275</v>
      </c>
      <c r="AS60" s="95"/>
      <c r="AT60" s="87"/>
      <c r="AU60" s="87"/>
    </row>
    <row r="61" spans="2:48" ht="30" customHeight="1" x14ac:dyDescent="0.2">
      <c r="B61" s="937"/>
      <c r="C61" s="123" t="s">
        <v>192</v>
      </c>
      <c r="D61" s="124" t="s">
        <v>182</v>
      </c>
      <c r="E61" s="124" t="s">
        <v>280</v>
      </c>
      <c r="F61" s="124">
        <v>11119515</v>
      </c>
      <c r="G61" s="124">
        <v>20</v>
      </c>
      <c r="H61" s="124">
        <v>100405</v>
      </c>
      <c r="I61" s="125">
        <f t="shared" si="6"/>
        <v>42615</v>
      </c>
      <c r="J61" s="124">
        <v>20</v>
      </c>
      <c r="K61" s="153"/>
      <c r="L61" s="152"/>
      <c r="M61" s="124">
        <v>0.08</v>
      </c>
      <c r="N61" s="126">
        <f t="shared" si="1"/>
        <v>20.000080000000001</v>
      </c>
      <c r="O61" s="124">
        <v>0.08</v>
      </c>
      <c r="P61" s="163">
        <f t="shared" si="4"/>
        <v>0.88965063908070108</v>
      </c>
      <c r="Q61" s="124" t="str">
        <f t="shared" si="5"/>
        <v>M-002</v>
      </c>
      <c r="R61" s="129" t="s">
        <v>275</v>
      </c>
      <c r="AS61" s="95"/>
      <c r="AT61" s="87"/>
      <c r="AU61" s="87"/>
    </row>
    <row r="62" spans="2:48" ht="30" customHeight="1" x14ac:dyDescent="0.2">
      <c r="B62" s="937"/>
      <c r="C62" s="123" t="s">
        <v>194</v>
      </c>
      <c r="D62" s="124" t="s">
        <v>182</v>
      </c>
      <c r="E62" s="124" t="s">
        <v>280</v>
      </c>
      <c r="F62" s="124">
        <v>11119515</v>
      </c>
      <c r="G62" s="124">
        <v>50</v>
      </c>
      <c r="H62" s="124">
        <v>100405</v>
      </c>
      <c r="I62" s="125">
        <f t="shared" si="6"/>
        <v>42615</v>
      </c>
      <c r="J62" s="124">
        <v>50</v>
      </c>
      <c r="K62" s="153"/>
      <c r="L62" s="152"/>
      <c r="M62" s="124">
        <v>0.19</v>
      </c>
      <c r="N62" s="126">
        <f t="shared" si="1"/>
        <v>50.000190000000003</v>
      </c>
      <c r="O62" s="127">
        <v>0.1</v>
      </c>
      <c r="P62" s="163">
        <f t="shared" si="4"/>
        <v>0.88965063908070108</v>
      </c>
      <c r="Q62" s="124" t="str">
        <f t="shared" si="5"/>
        <v>M-002</v>
      </c>
      <c r="R62" s="129" t="s">
        <v>275</v>
      </c>
      <c r="AS62" s="95"/>
      <c r="AT62" s="87"/>
      <c r="AU62" s="87"/>
    </row>
    <row r="63" spans="2:48" ht="30" customHeight="1" x14ac:dyDescent="0.2">
      <c r="B63" s="937"/>
      <c r="C63" s="123" t="s">
        <v>195</v>
      </c>
      <c r="D63" s="124" t="s">
        <v>182</v>
      </c>
      <c r="E63" s="124" t="s">
        <v>280</v>
      </c>
      <c r="F63" s="124">
        <v>11119515</v>
      </c>
      <c r="G63" s="124">
        <v>100</v>
      </c>
      <c r="H63" s="124">
        <v>100405</v>
      </c>
      <c r="I63" s="125">
        <f t="shared" si="6"/>
        <v>42615</v>
      </c>
      <c r="J63" s="124">
        <v>100</v>
      </c>
      <c r="K63" s="153"/>
      <c r="L63" s="152"/>
      <c r="M63" s="124">
        <v>0.13</v>
      </c>
      <c r="N63" s="126">
        <f t="shared" si="1"/>
        <v>100.00013</v>
      </c>
      <c r="O63" s="124">
        <v>0.16</v>
      </c>
      <c r="P63" s="163">
        <f t="shared" si="4"/>
        <v>0.88965063908070108</v>
      </c>
      <c r="Q63" s="124" t="str">
        <f t="shared" si="5"/>
        <v>M-002</v>
      </c>
      <c r="R63" s="129" t="s">
        <v>275</v>
      </c>
      <c r="AT63" s="95"/>
      <c r="AU63" s="87"/>
      <c r="AV63" s="87"/>
    </row>
    <row r="64" spans="2:48" ht="30" customHeight="1" x14ac:dyDescent="0.2">
      <c r="B64" s="937"/>
      <c r="C64" s="123" t="s">
        <v>197</v>
      </c>
      <c r="D64" s="124" t="s">
        <v>182</v>
      </c>
      <c r="E64" s="124" t="s">
        <v>280</v>
      </c>
      <c r="F64" s="124">
        <v>11119515</v>
      </c>
      <c r="G64" s="124" t="s">
        <v>199</v>
      </c>
      <c r="H64" s="124">
        <v>100405</v>
      </c>
      <c r="I64" s="125">
        <f t="shared" si="6"/>
        <v>42615</v>
      </c>
      <c r="J64" s="124">
        <v>200</v>
      </c>
      <c r="K64" s="153"/>
      <c r="L64" s="152"/>
      <c r="M64" s="124">
        <v>0.2</v>
      </c>
      <c r="N64" s="130">
        <f t="shared" si="1"/>
        <v>200.00020000000001</v>
      </c>
      <c r="O64" s="124">
        <v>0.3</v>
      </c>
      <c r="P64" s="163">
        <f t="shared" si="4"/>
        <v>0.88965063908070108</v>
      </c>
      <c r="Q64" s="124" t="str">
        <f t="shared" si="5"/>
        <v>M-002</v>
      </c>
      <c r="R64" s="129" t="s">
        <v>275</v>
      </c>
      <c r="AT64" s="95"/>
      <c r="AU64" s="87"/>
      <c r="AV64" s="87"/>
    </row>
    <row r="65" spans="2:50" ht="30" customHeight="1" x14ac:dyDescent="0.2">
      <c r="B65" s="937"/>
      <c r="C65" s="123" t="s">
        <v>198</v>
      </c>
      <c r="D65" s="124" t="s">
        <v>182</v>
      </c>
      <c r="E65" s="124" t="s">
        <v>280</v>
      </c>
      <c r="F65" s="124">
        <v>11119515</v>
      </c>
      <c r="G65" s="124">
        <v>200</v>
      </c>
      <c r="H65" s="124">
        <v>100405</v>
      </c>
      <c r="I65" s="125">
        <f t="shared" si="6"/>
        <v>42615</v>
      </c>
      <c r="J65" s="124">
        <v>200</v>
      </c>
      <c r="K65" s="153"/>
      <c r="L65" s="152"/>
      <c r="M65" s="124">
        <v>0.3</v>
      </c>
      <c r="N65" s="130">
        <f t="shared" si="1"/>
        <v>200.00030000000001</v>
      </c>
      <c r="O65" s="124">
        <v>0.3</v>
      </c>
      <c r="P65" s="163">
        <f t="shared" si="4"/>
        <v>0.88965063908070108</v>
      </c>
      <c r="Q65" s="124" t="str">
        <f t="shared" si="5"/>
        <v>M-002</v>
      </c>
      <c r="R65" s="129" t="s">
        <v>275</v>
      </c>
      <c r="AT65" s="95"/>
      <c r="AU65" s="87"/>
      <c r="AV65" s="87"/>
    </row>
    <row r="66" spans="2:50" ht="30" customHeight="1" x14ac:dyDescent="0.2">
      <c r="B66" s="937"/>
      <c r="C66" s="123" t="s">
        <v>200</v>
      </c>
      <c r="D66" s="124" t="s">
        <v>182</v>
      </c>
      <c r="E66" s="124" t="s">
        <v>280</v>
      </c>
      <c r="F66" s="124">
        <v>11119515</v>
      </c>
      <c r="G66" s="124">
        <v>500</v>
      </c>
      <c r="H66" s="124">
        <v>100405</v>
      </c>
      <c r="I66" s="125">
        <f t="shared" si="6"/>
        <v>42615</v>
      </c>
      <c r="J66" s="124">
        <v>500</v>
      </c>
      <c r="K66" s="153"/>
      <c r="L66" s="152"/>
      <c r="M66" s="124">
        <v>0.8</v>
      </c>
      <c r="N66" s="130">
        <f t="shared" si="1"/>
        <v>500.00080000000003</v>
      </c>
      <c r="O66" s="124">
        <v>0.8</v>
      </c>
      <c r="P66" s="163">
        <f t="shared" si="4"/>
        <v>0.88965063908070108</v>
      </c>
      <c r="Q66" s="124" t="str">
        <f t="shared" si="5"/>
        <v>M-002</v>
      </c>
      <c r="R66" s="129" t="s">
        <v>275</v>
      </c>
      <c r="AI66" s="164"/>
      <c r="AJ66" s="164"/>
      <c r="AK66" s="164"/>
      <c r="AQ66" s="165"/>
      <c r="AR66" s="165"/>
      <c r="AS66" s="95"/>
      <c r="AT66" s="95"/>
      <c r="AU66" s="87"/>
      <c r="AV66" s="87"/>
    </row>
    <row r="67" spans="2:50" ht="30" customHeight="1" x14ac:dyDescent="0.2">
      <c r="B67" s="937"/>
      <c r="C67" s="123" t="s">
        <v>201</v>
      </c>
      <c r="D67" s="124" t="s">
        <v>182</v>
      </c>
      <c r="E67" s="124" t="s">
        <v>280</v>
      </c>
      <c r="F67" s="124">
        <v>11119515</v>
      </c>
      <c r="G67" s="124">
        <v>1</v>
      </c>
      <c r="H67" s="124">
        <v>100405</v>
      </c>
      <c r="I67" s="125">
        <f t="shared" si="6"/>
        <v>42615</v>
      </c>
      <c r="J67" s="124">
        <v>1000</v>
      </c>
      <c r="K67" s="153"/>
      <c r="L67" s="153"/>
      <c r="M67" s="124">
        <v>1.9</v>
      </c>
      <c r="N67" s="130">
        <f t="shared" si="1"/>
        <v>1000.0019</v>
      </c>
      <c r="O67" s="124">
        <v>1.6</v>
      </c>
      <c r="P67" s="163">
        <f t="shared" si="4"/>
        <v>0.88965063908070108</v>
      </c>
      <c r="Q67" s="124" t="str">
        <f t="shared" si="5"/>
        <v>M-002</v>
      </c>
      <c r="R67" s="129" t="s">
        <v>275</v>
      </c>
      <c r="AI67" s="166"/>
      <c r="AJ67" s="166"/>
      <c r="AK67" s="166"/>
      <c r="AQ67" s="166"/>
      <c r="AR67" s="166"/>
      <c r="AS67" s="166"/>
      <c r="AT67" s="166"/>
      <c r="AU67" s="166"/>
      <c r="AV67" s="166"/>
      <c r="AW67" s="166"/>
      <c r="AX67" s="166"/>
    </row>
    <row r="68" spans="2:50" ht="30" customHeight="1" x14ac:dyDescent="0.2">
      <c r="B68" s="937"/>
      <c r="C68" s="123" t="s">
        <v>202</v>
      </c>
      <c r="D68" s="124" t="s">
        <v>182</v>
      </c>
      <c r="E68" s="124" t="s">
        <v>280</v>
      </c>
      <c r="F68" s="124">
        <v>11119515</v>
      </c>
      <c r="G68" s="124" t="s">
        <v>186</v>
      </c>
      <c r="H68" s="124">
        <v>100405</v>
      </c>
      <c r="I68" s="125">
        <f t="shared" si="6"/>
        <v>42615</v>
      </c>
      <c r="J68" s="124">
        <v>2000</v>
      </c>
      <c r="K68" s="153"/>
      <c r="L68" s="153"/>
      <c r="M68" s="131">
        <v>2.2000000000000002</v>
      </c>
      <c r="N68" s="130">
        <f t="shared" si="1"/>
        <v>2000.0021999999999</v>
      </c>
      <c r="O68" s="131">
        <v>3</v>
      </c>
      <c r="P68" s="163">
        <f t="shared" si="4"/>
        <v>0.88965063908070108</v>
      </c>
      <c r="Q68" s="124" t="str">
        <f t="shared" si="5"/>
        <v>M-002</v>
      </c>
      <c r="R68" s="129" t="s">
        <v>275</v>
      </c>
      <c r="AE68" s="166"/>
      <c r="AF68" s="166"/>
      <c r="AG68" s="166"/>
      <c r="AH68" s="166"/>
      <c r="AI68" s="166"/>
      <c r="AJ68" s="166"/>
      <c r="AK68" s="166"/>
      <c r="AQ68" s="166"/>
      <c r="AR68" s="166"/>
      <c r="AS68" s="166"/>
      <c r="AT68" s="166"/>
      <c r="AU68" s="166"/>
      <c r="AV68" s="166"/>
      <c r="AW68" s="166"/>
      <c r="AX68" s="166"/>
    </row>
    <row r="69" spans="2:50" ht="30" customHeight="1" x14ac:dyDescent="0.2">
      <c r="B69" s="937"/>
      <c r="C69" s="123" t="s">
        <v>203</v>
      </c>
      <c r="D69" s="124" t="s">
        <v>182</v>
      </c>
      <c r="E69" s="124" t="s">
        <v>280</v>
      </c>
      <c r="F69" s="124">
        <v>11119515</v>
      </c>
      <c r="G69" s="124">
        <v>2</v>
      </c>
      <c r="H69" s="124">
        <v>100405</v>
      </c>
      <c r="I69" s="125">
        <f t="shared" si="6"/>
        <v>42615</v>
      </c>
      <c r="J69" s="124">
        <v>2000</v>
      </c>
      <c r="K69" s="153"/>
      <c r="L69" s="153"/>
      <c r="M69" s="131">
        <v>2</v>
      </c>
      <c r="N69" s="130">
        <f t="shared" si="1"/>
        <v>2000.002</v>
      </c>
      <c r="O69" s="131">
        <v>3</v>
      </c>
      <c r="P69" s="163">
        <f t="shared" si="4"/>
        <v>0.88965063908070108</v>
      </c>
      <c r="Q69" s="124" t="str">
        <f t="shared" si="5"/>
        <v>M-002</v>
      </c>
      <c r="R69" s="129" t="s">
        <v>275</v>
      </c>
      <c r="S69" s="86"/>
      <c r="T69" s="86"/>
      <c r="U69" s="86"/>
      <c r="V69" s="86"/>
      <c r="W69" s="86"/>
      <c r="X69" s="8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Q69" s="166"/>
      <c r="AR69" s="166"/>
      <c r="AS69" s="166"/>
      <c r="AT69" s="166"/>
      <c r="AU69" s="166"/>
      <c r="AV69" s="166"/>
      <c r="AW69" s="166"/>
      <c r="AX69" s="166"/>
    </row>
    <row r="70" spans="2:50" ht="30" customHeight="1" thickBot="1" x14ac:dyDescent="0.25">
      <c r="B70" s="938"/>
      <c r="C70" s="132" t="s">
        <v>204</v>
      </c>
      <c r="D70" s="133" t="s">
        <v>182</v>
      </c>
      <c r="E70" s="133" t="s">
        <v>280</v>
      </c>
      <c r="F70" s="133">
        <v>11119515</v>
      </c>
      <c r="G70" s="133">
        <v>5</v>
      </c>
      <c r="H70" s="133">
        <v>100405</v>
      </c>
      <c r="I70" s="134">
        <f t="shared" si="6"/>
        <v>42615</v>
      </c>
      <c r="J70" s="133">
        <v>5000</v>
      </c>
      <c r="K70" s="167"/>
      <c r="L70" s="167"/>
      <c r="M70" s="133">
        <v>5.9</v>
      </c>
      <c r="N70" s="168">
        <f t="shared" si="1"/>
        <v>5000.0059000000001</v>
      </c>
      <c r="O70" s="169">
        <v>8</v>
      </c>
      <c r="P70" s="148">
        <f t="shared" si="4"/>
        <v>0.88965063908070108</v>
      </c>
      <c r="Q70" s="133" t="str">
        <f t="shared" si="5"/>
        <v>M-002</v>
      </c>
      <c r="R70" s="137" t="s">
        <v>275</v>
      </c>
      <c r="S70" s="86"/>
      <c r="T70" s="86"/>
      <c r="U70" s="86"/>
      <c r="V70" s="86"/>
      <c r="W70" s="86"/>
      <c r="X70" s="8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Q70" s="166"/>
      <c r="AR70" s="166"/>
      <c r="AS70" s="166"/>
      <c r="AT70" s="166"/>
      <c r="AU70" s="166"/>
      <c r="AV70" s="166"/>
      <c r="AW70" s="166"/>
      <c r="AX70" s="166"/>
    </row>
    <row r="71" spans="2:50" ht="30" customHeight="1" thickBot="1" x14ac:dyDescent="0.25">
      <c r="B71" s="170" t="s">
        <v>279</v>
      </c>
      <c r="C71" s="116" t="s">
        <v>205</v>
      </c>
      <c r="D71" s="117" t="s">
        <v>182</v>
      </c>
      <c r="E71" s="117" t="s">
        <v>280</v>
      </c>
      <c r="F71" s="117">
        <v>11119467</v>
      </c>
      <c r="G71" s="117">
        <v>10</v>
      </c>
      <c r="H71" s="117">
        <v>1257</v>
      </c>
      <c r="I71" s="118">
        <v>42692</v>
      </c>
      <c r="J71" s="117">
        <v>10000</v>
      </c>
      <c r="K71" s="171"/>
      <c r="L71" s="171"/>
      <c r="M71" s="117">
        <v>8</v>
      </c>
      <c r="N71" s="119">
        <f t="shared" si="1"/>
        <v>10000.008</v>
      </c>
      <c r="O71" s="117">
        <v>16</v>
      </c>
      <c r="P71" s="121">
        <f>(0.34848*((750.712+752.294)/2)-0.009024*((52.2+56.3)/2)*EXP(0.0612*((20.3+20.4)/2)))/(273.15+((20.3+20.4)/2))</f>
        <v>0.88648336980110287</v>
      </c>
      <c r="Q71" s="117" t="s">
        <v>206</v>
      </c>
      <c r="R71" s="122" t="s">
        <v>275</v>
      </c>
      <c r="S71" s="86"/>
      <c r="T71" s="86"/>
      <c r="U71" s="86"/>
      <c r="V71" s="86"/>
      <c r="W71" s="86"/>
      <c r="X71" s="8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Q71" s="166"/>
      <c r="AR71" s="166"/>
      <c r="AS71" s="166"/>
      <c r="AT71" s="166"/>
      <c r="AU71" s="166"/>
      <c r="AV71" s="166"/>
      <c r="AW71" s="166"/>
      <c r="AX71" s="166"/>
    </row>
    <row r="72" spans="2:50" ht="30" customHeight="1" thickBot="1" x14ac:dyDescent="0.25">
      <c r="B72" s="170" t="s">
        <v>279</v>
      </c>
      <c r="C72" s="141" t="s">
        <v>207</v>
      </c>
      <c r="D72" s="142" t="s">
        <v>182</v>
      </c>
      <c r="E72" s="142" t="s">
        <v>280</v>
      </c>
      <c r="F72" s="142">
        <v>11119468</v>
      </c>
      <c r="G72" s="142">
        <v>20</v>
      </c>
      <c r="H72" s="142">
        <v>1258</v>
      </c>
      <c r="I72" s="143">
        <v>42695</v>
      </c>
      <c r="J72" s="142">
        <v>20000</v>
      </c>
      <c r="K72" s="154"/>
      <c r="L72" s="154"/>
      <c r="M72" s="142">
        <v>0</v>
      </c>
      <c r="N72" s="172">
        <f t="shared" si="1"/>
        <v>20000</v>
      </c>
      <c r="O72" s="142">
        <v>30</v>
      </c>
      <c r="P72" s="173">
        <f>(0.34848*((751.3+751.5)/2)-0.009024*((54.1+55.5)/2)*EXP(0.0612*((19.7+20.3)/2)))/(273.15+((19.7+20.3)/2))</f>
        <v>0.88748470987269767</v>
      </c>
      <c r="Q72" s="142" t="s">
        <v>208</v>
      </c>
      <c r="R72" s="174" t="s">
        <v>275</v>
      </c>
      <c r="S72" s="86"/>
      <c r="T72" s="86"/>
      <c r="U72" s="86"/>
      <c r="V72" s="86"/>
      <c r="W72" s="86"/>
      <c r="X72" s="8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Q72" s="166"/>
      <c r="AR72" s="166"/>
      <c r="AS72" s="166"/>
      <c r="AT72" s="166"/>
      <c r="AU72" s="166"/>
      <c r="AV72" s="166"/>
      <c r="AW72" s="166"/>
      <c r="AX72" s="166"/>
    </row>
    <row r="73" spans="2:50" ht="30" customHeight="1" x14ac:dyDescent="0.2">
      <c r="B73" s="936" t="s">
        <v>278</v>
      </c>
      <c r="C73" s="157" t="s">
        <v>209</v>
      </c>
      <c r="D73" s="158" t="s">
        <v>182</v>
      </c>
      <c r="E73" s="158" t="s">
        <v>210</v>
      </c>
      <c r="F73" s="158" t="s">
        <v>281</v>
      </c>
      <c r="G73" s="158" t="s">
        <v>212</v>
      </c>
      <c r="H73" s="158" t="s">
        <v>213</v>
      </c>
      <c r="I73" s="159">
        <v>42683</v>
      </c>
      <c r="J73" s="158">
        <v>1</v>
      </c>
      <c r="K73" s="160"/>
      <c r="L73" s="160"/>
      <c r="M73" s="175">
        <v>0.04</v>
      </c>
      <c r="N73" s="162">
        <f t="shared" si="1"/>
        <v>1.00004</v>
      </c>
      <c r="O73" s="158">
        <v>3.3000000000000002E-2</v>
      </c>
      <c r="P73" s="176">
        <v>0.88229999999999997</v>
      </c>
      <c r="Q73" s="158" t="s">
        <v>214</v>
      </c>
      <c r="R73" s="129" t="s">
        <v>274</v>
      </c>
      <c r="S73" s="86"/>
      <c r="T73" s="86"/>
      <c r="U73" s="86"/>
      <c r="V73" s="86"/>
      <c r="W73" s="86"/>
      <c r="X73" s="8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</row>
    <row r="74" spans="2:50" ht="30" customHeight="1" x14ac:dyDescent="0.2">
      <c r="B74" s="937"/>
      <c r="C74" s="123" t="s">
        <v>215</v>
      </c>
      <c r="D74" s="124" t="s">
        <v>182</v>
      </c>
      <c r="E74" s="124" t="s">
        <v>210</v>
      </c>
      <c r="F74" s="158" t="s">
        <v>281</v>
      </c>
      <c r="G74" s="124" t="s">
        <v>212</v>
      </c>
      <c r="H74" s="124" t="s">
        <v>213</v>
      </c>
      <c r="I74" s="159">
        <v>42683</v>
      </c>
      <c r="J74" s="124">
        <v>2</v>
      </c>
      <c r="K74" s="153"/>
      <c r="L74" s="153"/>
      <c r="M74" s="151">
        <v>0.04</v>
      </c>
      <c r="N74" s="126">
        <f t="shared" si="1"/>
        <v>2.0000399999999998</v>
      </c>
      <c r="O74" s="151">
        <v>0.04</v>
      </c>
      <c r="P74" s="177">
        <v>0.88200000000000001</v>
      </c>
      <c r="Q74" s="124" t="str">
        <f>Q73</f>
        <v>M-016</v>
      </c>
      <c r="R74" s="129" t="s">
        <v>274</v>
      </c>
      <c r="S74" s="86"/>
      <c r="T74" s="86"/>
      <c r="U74" s="86"/>
      <c r="V74" s="86"/>
      <c r="W74" s="86"/>
      <c r="X74" s="8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</row>
    <row r="75" spans="2:50" ht="30" customHeight="1" x14ac:dyDescent="0.2">
      <c r="B75" s="937"/>
      <c r="C75" s="123" t="s">
        <v>216</v>
      </c>
      <c r="D75" s="124" t="s">
        <v>182</v>
      </c>
      <c r="E75" s="124" t="s">
        <v>210</v>
      </c>
      <c r="F75" s="158" t="s">
        <v>281</v>
      </c>
      <c r="G75" s="124" t="s">
        <v>217</v>
      </c>
      <c r="H75" s="124" t="s">
        <v>213</v>
      </c>
      <c r="I75" s="159">
        <v>42683</v>
      </c>
      <c r="J75" s="124">
        <v>2</v>
      </c>
      <c r="K75" s="153"/>
      <c r="L75" s="153"/>
      <c r="M75" s="124">
        <v>5.3999999999999999E-2</v>
      </c>
      <c r="N75" s="150">
        <f t="shared" si="1"/>
        <v>2.000054</v>
      </c>
      <c r="O75" s="151">
        <v>0.04</v>
      </c>
      <c r="P75" s="128">
        <v>0.88190000000000002</v>
      </c>
      <c r="Q75" s="124" t="str">
        <f t="shared" ref="Q75:Q88" si="7">Q74</f>
        <v>M-016</v>
      </c>
      <c r="R75" s="129" t="s">
        <v>274</v>
      </c>
      <c r="U75" s="86"/>
      <c r="V75" s="86"/>
      <c r="W75" s="86"/>
      <c r="X75" s="8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</row>
    <row r="76" spans="2:50" ht="30" customHeight="1" x14ac:dyDescent="0.2">
      <c r="B76" s="937"/>
      <c r="C76" s="123" t="s">
        <v>218</v>
      </c>
      <c r="D76" s="124" t="s">
        <v>182</v>
      </c>
      <c r="E76" s="124" t="s">
        <v>210</v>
      </c>
      <c r="F76" s="158" t="s">
        <v>281</v>
      </c>
      <c r="G76" s="124" t="s">
        <v>212</v>
      </c>
      <c r="H76" s="124" t="s">
        <v>213</v>
      </c>
      <c r="I76" s="159">
        <v>42683</v>
      </c>
      <c r="J76" s="124">
        <v>5</v>
      </c>
      <c r="K76" s="153"/>
      <c r="L76" s="153"/>
      <c r="M76" s="124">
        <v>8.7999999999999995E-2</v>
      </c>
      <c r="N76" s="150">
        <f t="shared" si="1"/>
        <v>5.0000879999999999</v>
      </c>
      <c r="O76" s="124">
        <v>5.2999999999999999E-2</v>
      </c>
      <c r="P76" s="177">
        <v>0.88200000000000001</v>
      </c>
      <c r="Q76" s="124" t="str">
        <f t="shared" si="7"/>
        <v>M-016</v>
      </c>
      <c r="R76" s="129" t="s">
        <v>274</v>
      </c>
      <c r="U76" s="86"/>
      <c r="V76" s="86"/>
      <c r="W76" s="86"/>
      <c r="X76" s="8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</row>
    <row r="77" spans="2:50" ht="30" customHeight="1" x14ac:dyDescent="0.2">
      <c r="B77" s="937"/>
      <c r="C77" s="123" t="s">
        <v>219</v>
      </c>
      <c r="D77" s="124" t="s">
        <v>182</v>
      </c>
      <c r="E77" s="124" t="s">
        <v>210</v>
      </c>
      <c r="F77" s="158" t="s">
        <v>281</v>
      </c>
      <c r="G77" s="124" t="s">
        <v>212</v>
      </c>
      <c r="H77" s="124" t="s">
        <v>213</v>
      </c>
      <c r="I77" s="159">
        <v>42683</v>
      </c>
      <c r="J77" s="124">
        <v>10</v>
      </c>
      <c r="K77" s="153"/>
      <c r="L77" s="153"/>
      <c r="M77" s="124">
        <v>8.7999999999999995E-2</v>
      </c>
      <c r="N77" s="150">
        <f t="shared" si="1"/>
        <v>10.000088</v>
      </c>
      <c r="O77" s="124">
        <v>6.7000000000000004E-2</v>
      </c>
      <c r="P77" s="128">
        <v>0.8821</v>
      </c>
      <c r="Q77" s="124" t="str">
        <f t="shared" si="7"/>
        <v>M-016</v>
      </c>
      <c r="R77" s="129" t="s">
        <v>274</v>
      </c>
      <c r="U77" s="86"/>
      <c r="V77" s="86"/>
      <c r="W77" s="86"/>
      <c r="X77" s="86"/>
      <c r="Y77" s="86"/>
      <c r="Z77" s="8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</row>
    <row r="78" spans="2:50" ht="30" customHeight="1" x14ac:dyDescent="0.2">
      <c r="B78" s="937"/>
      <c r="C78" s="123" t="s">
        <v>220</v>
      </c>
      <c r="D78" s="124" t="s">
        <v>182</v>
      </c>
      <c r="E78" s="124" t="s">
        <v>210</v>
      </c>
      <c r="F78" s="158" t="s">
        <v>281</v>
      </c>
      <c r="G78" s="124" t="s">
        <v>212</v>
      </c>
      <c r="H78" s="124" t="s">
        <v>213</v>
      </c>
      <c r="I78" s="159">
        <v>42683</v>
      </c>
      <c r="J78" s="124">
        <v>20</v>
      </c>
      <c r="K78" s="153"/>
      <c r="L78" s="153"/>
      <c r="M78" s="124">
        <v>9.2999999999999999E-2</v>
      </c>
      <c r="N78" s="150">
        <f t="shared" si="1"/>
        <v>20.000093</v>
      </c>
      <c r="O78" s="124">
        <v>8.3000000000000004E-2</v>
      </c>
      <c r="P78" s="128">
        <v>0.88229999999999997</v>
      </c>
      <c r="Q78" s="124" t="str">
        <f t="shared" si="7"/>
        <v>M-016</v>
      </c>
      <c r="R78" s="129" t="s">
        <v>274</v>
      </c>
      <c r="U78" s="86"/>
      <c r="V78" s="86"/>
      <c r="W78" s="86"/>
      <c r="X78" s="86"/>
      <c r="Y78" s="86"/>
      <c r="Z78" s="8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</row>
    <row r="79" spans="2:50" ht="30" customHeight="1" x14ac:dyDescent="0.2">
      <c r="B79" s="937"/>
      <c r="C79" s="123" t="s">
        <v>221</v>
      </c>
      <c r="D79" s="124" t="s">
        <v>182</v>
      </c>
      <c r="E79" s="124" t="s">
        <v>210</v>
      </c>
      <c r="F79" s="158" t="s">
        <v>281</v>
      </c>
      <c r="G79" s="124" t="s">
        <v>217</v>
      </c>
      <c r="H79" s="124" t="s">
        <v>213</v>
      </c>
      <c r="I79" s="159">
        <v>42683</v>
      </c>
      <c r="J79" s="124">
        <v>20</v>
      </c>
      <c r="K79" s="153"/>
      <c r="L79" s="153"/>
      <c r="M79" s="124">
        <v>9.0999999999999998E-2</v>
      </c>
      <c r="N79" s="150">
        <f t="shared" si="1"/>
        <v>20.000091000000001</v>
      </c>
      <c r="O79" s="124">
        <v>8.3000000000000004E-2</v>
      </c>
      <c r="P79" s="128">
        <v>0.88239999999999996</v>
      </c>
      <c r="Q79" s="124" t="str">
        <f t="shared" si="7"/>
        <v>M-016</v>
      </c>
      <c r="R79" s="129" t="s">
        <v>274</v>
      </c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</row>
    <row r="80" spans="2:50" ht="30" customHeight="1" x14ac:dyDescent="0.2">
      <c r="B80" s="937"/>
      <c r="C80" s="123" t="s">
        <v>222</v>
      </c>
      <c r="D80" s="124" t="s">
        <v>182</v>
      </c>
      <c r="E80" s="124" t="s">
        <v>210</v>
      </c>
      <c r="F80" s="158" t="s">
        <v>281</v>
      </c>
      <c r="G80" s="124" t="s">
        <v>212</v>
      </c>
      <c r="H80" s="124" t="s">
        <v>213</v>
      </c>
      <c r="I80" s="159">
        <v>42683</v>
      </c>
      <c r="J80" s="124">
        <v>50</v>
      </c>
      <c r="K80" s="153"/>
      <c r="L80" s="153"/>
      <c r="M80" s="124">
        <v>0.08</v>
      </c>
      <c r="N80" s="126">
        <f t="shared" si="1"/>
        <v>50.000079999999997</v>
      </c>
      <c r="O80" s="127">
        <v>0.1</v>
      </c>
      <c r="P80" s="128">
        <v>0.88239999999999996</v>
      </c>
      <c r="Q80" s="124" t="str">
        <f t="shared" si="7"/>
        <v>M-016</v>
      </c>
      <c r="R80" s="129" t="s">
        <v>274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</row>
    <row r="81" spans="2:50" ht="30" customHeight="1" x14ac:dyDescent="0.2">
      <c r="B81" s="937"/>
      <c r="C81" s="123" t="s">
        <v>223</v>
      </c>
      <c r="D81" s="124" t="s">
        <v>182</v>
      </c>
      <c r="E81" s="124" t="s">
        <v>210</v>
      </c>
      <c r="F81" s="158" t="s">
        <v>281</v>
      </c>
      <c r="G81" s="124" t="s">
        <v>212</v>
      </c>
      <c r="H81" s="124" t="s">
        <v>213</v>
      </c>
      <c r="I81" s="159">
        <v>42683</v>
      </c>
      <c r="J81" s="124">
        <v>100</v>
      </c>
      <c r="K81" s="153"/>
      <c r="L81" s="153"/>
      <c r="M81" s="124">
        <v>0.08</v>
      </c>
      <c r="N81" s="126">
        <f t="shared" si="1"/>
        <v>100.00008</v>
      </c>
      <c r="O81" s="124">
        <v>0.17</v>
      </c>
      <c r="P81" s="128">
        <v>0.88539999999999996</v>
      </c>
      <c r="Q81" s="124" t="str">
        <f t="shared" si="7"/>
        <v>M-016</v>
      </c>
      <c r="R81" s="129" t="s">
        <v>274</v>
      </c>
      <c r="U81" s="86"/>
      <c r="V81" s="86"/>
      <c r="W81" s="86"/>
      <c r="X81" s="86"/>
      <c r="Y81" s="86"/>
      <c r="Z81" s="8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V81" s="166"/>
      <c r="AW81" s="166"/>
      <c r="AX81" s="166"/>
    </row>
    <row r="82" spans="2:50" ht="30" customHeight="1" x14ac:dyDescent="0.2">
      <c r="B82" s="937"/>
      <c r="C82" s="123" t="s">
        <v>224</v>
      </c>
      <c r="D82" s="124" t="s">
        <v>182</v>
      </c>
      <c r="E82" s="124" t="s">
        <v>210</v>
      </c>
      <c r="F82" s="158" t="s">
        <v>281</v>
      </c>
      <c r="G82" s="124" t="s">
        <v>212</v>
      </c>
      <c r="H82" s="124" t="s">
        <v>213</v>
      </c>
      <c r="I82" s="159">
        <v>42683</v>
      </c>
      <c r="J82" s="124">
        <v>200</v>
      </c>
      <c r="K82" s="153"/>
      <c r="L82" s="153"/>
      <c r="M82" s="124">
        <v>0.28999999999999998</v>
      </c>
      <c r="N82" s="126">
        <f t="shared" si="1"/>
        <v>200.00029000000001</v>
      </c>
      <c r="O82" s="124">
        <v>0.33</v>
      </c>
      <c r="P82" s="128">
        <v>0.88519999999999999</v>
      </c>
      <c r="Q82" s="124" t="str">
        <f t="shared" si="7"/>
        <v>M-016</v>
      </c>
      <c r="R82" s="129" t="s">
        <v>274</v>
      </c>
      <c r="U82" s="86"/>
      <c r="V82" s="86"/>
      <c r="W82" s="86"/>
      <c r="X82" s="86"/>
      <c r="Y82" s="86"/>
      <c r="Z82" s="8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V82" s="166"/>
      <c r="AW82" s="166"/>
      <c r="AX82" s="166"/>
    </row>
    <row r="83" spans="2:50" ht="30" customHeight="1" x14ac:dyDescent="0.2">
      <c r="B83" s="937"/>
      <c r="C83" s="123" t="s">
        <v>225</v>
      </c>
      <c r="D83" s="124" t="s">
        <v>182</v>
      </c>
      <c r="E83" s="124" t="s">
        <v>210</v>
      </c>
      <c r="F83" s="158" t="s">
        <v>281</v>
      </c>
      <c r="G83" s="124" t="s">
        <v>217</v>
      </c>
      <c r="H83" s="124" t="s">
        <v>213</v>
      </c>
      <c r="I83" s="159">
        <v>42683</v>
      </c>
      <c r="J83" s="124">
        <v>200</v>
      </c>
      <c r="K83" s="153"/>
      <c r="L83" s="153"/>
      <c r="M83" s="124">
        <v>0.33</v>
      </c>
      <c r="N83" s="126">
        <f t="shared" si="1"/>
        <v>200.00032999999999</v>
      </c>
      <c r="O83" s="124">
        <v>0.33</v>
      </c>
      <c r="P83" s="177">
        <v>0.88500000000000001</v>
      </c>
      <c r="Q83" s="124" t="str">
        <f t="shared" si="7"/>
        <v>M-016</v>
      </c>
      <c r="R83" s="129" t="s">
        <v>274</v>
      </c>
      <c r="U83" s="86"/>
      <c r="V83" s="86"/>
      <c r="W83" s="86"/>
      <c r="X83" s="86"/>
      <c r="Y83" s="86"/>
      <c r="Z83" s="8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V83" s="166"/>
      <c r="AW83" s="166"/>
      <c r="AX83" s="166"/>
    </row>
    <row r="84" spans="2:50" ht="30" customHeight="1" x14ac:dyDescent="0.2">
      <c r="B84" s="937"/>
      <c r="C84" s="123" t="s">
        <v>226</v>
      </c>
      <c r="D84" s="124" t="s">
        <v>182</v>
      </c>
      <c r="E84" s="124" t="s">
        <v>210</v>
      </c>
      <c r="F84" s="158" t="s">
        <v>281</v>
      </c>
      <c r="G84" s="124" t="s">
        <v>212</v>
      </c>
      <c r="H84" s="124" t="s">
        <v>213</v>
      </c>
      <c r="I84" s="159">
        <v>42683</v>
      </c>
      <c r="J84" s="124">
        <v>500</v>
      </c>
      <c r="K84" s="153"/>
      <c r="L84" s="153"/>
      <c r="M84" s="124">
        <v>0.94</v>
      </c>
      <c r="N84" s="126">
        <f t="shared" si="1"/>
        <v>500.00094000000001</v>
      </c>
      <c r="O84" s="124">
        <v>0.83</v>
      </c>
      <c r="P84" s="128">
        <v>0.88539999999999996</v>
      </c>
      <c r="Q84" s="124" t="str">
        <f t="shared" si="7"/>
        <v>M-016</v>
      </c>
      <c r="R84" s="129" t="s">
        <v>274</v>
      </c>
      <c r="S84" s="86"/>
      <c r="T84" s="86"/>
      <c r="U84" s="86"/>
      <c r="V84" s="86"/>
      <c r="W84" s="86"/>
      <c r="X84" s="86"/>
      <c r="Y84" s="86"/>
      <c r="Z84" s="8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V84" s="166"/>
      <c r="AW84" s="166"/>
      <c r="AX84" s="166"/>
    </row>
    <row r="85" spans="2:50" ht="30" customHeight="1" x14ac:dyDescent="0.2">
      <c r="B85" s="937"/>
      <c r="C85" s="123" t="s">
        <v>227</v>
      </c>
      <c r="D85" s="124" t="s">
        <v>182</v>
      </c>
      <c r="E85" s="124" t="s">
        <v>210</v>
      </c>
      <c r="F85" s="158" t="s">
        <v>281</v>
      </c>
      <c r="G85" s="124" t="s">
        <v>212</v>
      </c>
      <c r="H85" s="124" t="s">
        <v>213</v>
      </c>
      <c r="I85" s="159">
        <v>42683</v>
      </c>
      <c r="J85" s="124">
        <v>1000</v>
      </c>
      <c r="K85" s="153"/>
      <c r="L85" s="153"/>
      <c r="M85" s="131">
        <v>0</v>
      </c>
      <c r="N85" s="130">
        <f t="shared" si="1"/>
        <v>1000</v>
      </c>
      <c r="O85" s="124">
        <v>1.7</v>
      </c>
      <c r="P85" s="128">
        <v>0.88449999999999995</v>
      </c>
      <c r="Q85" s="124" t="str">
        <f t="shared" si="7"/>
        <v>M-016</v>
      </c>
      <c r="R85" s="129" t="s">
        <v>274</v>
      </c>
      <c r="S85" s="86"/>
      <c r="T85" s="86"/>
      <c r="U85" s="86"/>
      <c r="V85" s="86"/>
      <c r="W85" s="86"/>
      <c r="X85" s="86"/>
      <c r="Y85" s="86"/>
      <c r="Z85" s="8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V85" s="166"/>
      <c r="AW85" s="166"/>
      <c r="AX85" s="166"/>
    </row>
    <row r="86" spans="2:50" ht="30" customHeight="1" x14ac:dyDescent="0.2">
      <c r="B86" s="937"/>
      <c r="C86" s="123" t="s">
        <v>228</v>
      </c>
      <c r="D86" s="124" t="s">
        <v>182</v>
      </c>
      <c r="E86" s="124" t="s">
        <v>210</v>
      </c>
      <c r="F86" s="158" t="s">
        <v>281</v>
      </c>
      <c r="G86" s="124" t="s">
        <v>212</v>
      </c>
      <c r="H86" s="124" t="s">
        <v>213</v>
      </c>
      <c r="I86" s="159">
        <v>42683</v>
      </c>
      <c r="J86" s="124">
        <v>2000</v>
      </c>
      <c r="K86" s="153"/>
      <c r="L86" s="153"/>
      <c r="M86" s="131">
        <v>3</v>
      </c>
      <c r="N86" s="130">
        <f t="shared" si="1"/>
        <v>2000.0029999999999</v>
      </c>
      <c r="O86" s="124">
        <v>3.3</v>
      </c>
      <c r="P86" s="128">
        <v>0.88429999999999997</v>
      </c>
      <c r="Q86" s="124" t="str">
        <f t="shared" si="7"/>
        <v>M-016</v>
      </c>
      <c r="R86" s="129" t="s">
        <v>274</v>
      </c>
      <c r="S86" s="86"/>
      <c r="T86" s="86"/>
      <c r="U86" s="86"/>
      <c r="V86" s="86"/>
      <c r="W86" s="86"/>
      <c r="X86" s="86"/>
      <c r="Y86" s="86"/>
      <c r="Z86" s="8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V86" s="166"/>
      <c r="AW86" s="166"/>
      <c r="AX86" s="166"/>
    </row>
    <row r="87" spans="2:50" ht="30" customHeight="1" x14ac:dyDescent="0.2">
      <c r="B87" s="937"/>
      <c r="C87" s="123" t="s">
        <v>229</v>
      </c>
      <c r="D87" s="124" t="s">
        <v>182</v>
      </c>
      <c r="E87" s="124" t="s">
        <v>210</v>
      </c>
      <c r="F87" s="158" t="s">
        <v>281</v>
      </c>
      <c r="G87" s="124" t="s">
        <v>217</v>
      </c>
      <c r="H87" s="124" t="s">
        <v>213</v>
      </c>
      <c r="I87" s="159">
        <v>42683</v>
      </c>
      <c r="J87" s="124">
        <v>2000</v>
      </c>
      <c r="K87" s="153"/>
      <c r="L87" s="153"/>
      <c r="M87" s="124">
        <v>3.9</v>
      </c>
      <c r="N87" s="130">
        <f t="shared" si="1"/>
        <v>2000.0038999999999</v>
      </c>
      <c r="O87" s="124">
        <v>3.3</v>
      </c>
      <c r="P87" s="128">
        <v>0.8841</v>
      </c>
      <c r="Q87" s="124" t="str">
        <f>Q86</f>
        <v>M-016</v>
      </c>
      <c r="R87" s="129" t="s">
        <v>274</v>
      </c>
      <c r="S87" s="86"/>
      <c r="T87" s="86"/>
      <c r="U87" s="8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V87" s="166"/>
      <c r="AW87" s="166"/>
      <c r="AX87" s="166"/>
    </row>
    <row r="88" spans="2:50" ht="30" customHeight="1" thickBot="1" x14ac:dyDescent="0.25">
      <c r="B88" s="938"/>
      <c r="C88" s="141" t="s">
        <v>230</v>
      </c>
      <c r="D88" s="142" t="s">
        <v>182</v>
      </c>
      <c r="E88" s="142" t="s">
        <v>210</v>
      </c>
      <c r="F88" s="158" t="s">
        <v>281</v>
      </c>
      <c r="G88" s="142" t="s">
        <v>212</v>
      </c>
      <c r="H88" s="142" t="s">
        <v>213</v>
      </c>
      <c r="I88" s="159">
        <v>42683</v>
      </c>
      <c r="J88" s="142">
        <v>5000</v>
      </c>
      <c r="K88" s="154"/>
      <c r="L88" s="154"/>
      <c r="M88" s="142">
        <v>7.7</v>
      </c>
      <c r="N88" s="144">
        <f t="shared" si="1"/>
        <v>5000.0077000000001</v>
      </c>
      <c r="O88" s="142">
        <v>8.3000000000000007</v>
      </c>
      <c r="P88" s="178">
        <v>0.88370000000000004</v>
      </c>
      <c r="Q88" s="142" t="str">
        <f t="shared" si="7"/>
        <v>M-016</v>
      </c>
      <c r="R88" s="129" t="s">
        <v>274</v>
      </c>
      <c r="U88" s="8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V88" s="166"/>
      <c r="AW88" s="166"/>
      <c r="AX88" s="166"/>
    </row>
    <row r="89" spans="2:50" ht="30" customHeight="1" x14ac:dyDescent="0.2">
      <c r="B89" s="179"/>
      <c r="U89" s="8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V89" s="166"/>
      <c r="AW89" s="166"/>
      <c r="AX89" s="166"/>
    </row>
    <row r="90" spans="2:50" ht="30" customHeight="1" x14ac:dyDescent="0.2">
      <c r="B90" s="179"/>
      <c r="U90" s="8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V90" s="166"/>
      <c r="AW90" s="166"/>
      <c r="AX90" s="166"/>
    </row>
    <row r="91" spans="2:50" ht="30" customHeight="1" x14ac:dyDescent="0.2">
      <c r="O91" s="86"/>
      <c r="P91" s="86"/>
      <c r="Q91" s="86"/>
      <c r="R91" s="86"/>
      <c r="S91" s="86"/>
      <c r="T91" s="86"/>
      <c r="U91" s="8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V91" s="166"/>
      <c r="AW91" s="166"/>
      <c r="AX91" s="166"/>
    </row>
    <row r="92" spans="2:50" ht="30" customHeight="1" x14ac:dyDescent="0.2">
      <c r="O92" s="86"/>
      <c r="P92" s="86"/>
      <c r="Q92" s="86"/>
      <c r="R92" s="86"/>
      <c r="S92" s="86"/>
      <c r="T92" s="86"/>
      <c r="U92" s="8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V92" s="166"/>
      <c r="AW92" s="166"/>
      <c r="AX92" s="166"/>
    </row>
    <row r="93" spans="2:50" ht="30" customHeight="1" x14ac:dyDescent="0.2">
      <c r="O93" s="86"/>
      <c r="P93" s="86"/>
      <c r="Q93" s="86"/>
      <c r="R93" s="86"/>
      <c r="S93" s="86"/>
      <c r="T93" s="86"/>
      <c r="U93" s="8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V93" s="166"/>
      <c r="AW93" s="166"/>
      <c r="AX93" s="166"/>
    </row>
    <row r="94" spans="2:50" ht="30" customHeight="1" x14ac:dyDescent="0.2">
      <c r="O94" s="86"/>
      <c r="P94" s="86"/>
      <c r="Q94" s="86"/>
      <c r="R94" s="86"/>
      <c r="S94" s="86"/>
      <c r="T94" s="86"/>
      <c r="U94" s="8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V94" s="166"/>
      <c r="AW94" s="166"/>
      <c r="AX94" s="166"/>
    </row>
    <row r="95" spans="2:50" ht="30" customHeight="1" thickBot="1" x14ac:dyDescent="0.25">
      <c r="O95" s="86"/>
      <c r="P95" s="86"/>
      <c r="Q95" s="86"/>
      <c r="R95" s="86"/>
      <c r="S95" s="86"/>
      <c r="T95" s="86"/>
      <c r="U95" s="8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V95" s="166"/>
      <c r="AW95" s="166"/>
      <c r="AX95" s="166"/>
    </row>
    <row r="96" spans="2:50" ht="30" customHeight="1" x14ac:dyDescent="0.2">
      <c r="B96" s="179"/>
      <c r="C96" s="939" t="s">
        <v>245</v>
      </c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1"/>
      <c r="U96" s="8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V96" s="166"/>
      <c r="AW96" s="166"/>
      <c r="AX96" s="166"/>
    </row>
    <row r="97" spans="1:50" ht="30" customHeight="1" thickBot="1" x14ac:dyDescent="0.25">
      <c r="B97" s="179"/>
      <c r="C97" s="942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4"/>
      <c r="U97" s="8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V97" s="166"/>
      <c r="AW97" s="166"/>
      <c r="AX97" s="166"/>
    </row>
    <row r="98" spans="1:50" ht="30" customHeight="1" thickBot="1" x14ac:dyDescent="0.25">
      <c r="B98" s="179"/>
      <c r="C98" s="945" t="s">
        <v>308</v>
      </c>
      <c r="D98" s="946"/>
      <c r="E98" s="946"/>
      <c r="F98" s="946"/>
      <c r="G98" s="946"/>
      <c r="H98" s="946"/>
      <c r="I98" s="946"/>
      <c r="J98" s="946"/>
      <c r="K98" s="946"/>
      <c r="L98" s="946"/>
      <c r="M98" s="946"/>
      <c r="N98" s="946"/>
      <c r="O98" s="946"/>
      <c r="P98" s="946"/>
      <c r="Q98" s="946"/>
      <c r="R98" s="946"/>
      <c r="S98" s="946"/>
      <c r="T98" s="947"/>
      <c r="U98" s="8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V98" s="166"/>
      <c r="AW98" s="166"/>
      <c r="AX98" s="166"/>
    </row>
    <row r="99" spans="1:50" ht="30" customHeight="1" x14ac:dyDescent="0.2">
      <c r="B99" s="179"/>
      <c r="C99" s="166"/>
      <c r="D99" s="948" t="s">
        <v>3</v>
      </c>
      <c r="E99" s="926" t="s">
        <v>246</v>
      </c>
      <c r="F99" s="926" t="s">
        <v>247</v>
      </c>
      <c r="G99" s="926" t="s">
        <v>248</v>
      </c>
      <c r="H99" s="926" t="s">
        <v>249</v>
      </c>
      <c r="I99" s="926" t="s">
        <v>250</v>
      </c>
      <c r="J99" s="926" t="s">
        <v>251</v>
      </c>
      <c r="K99" s="926" t="s">
        <v>252</v>
      </c>
      <c r="L99" s="928" t="s">
        <v>253</v>
      </c>
      <c r="O99" s="930" t="s">
        <v>323</v>
      </c>
      <c r="P99" s="931" t="s">
        <v>250</v>
      </c>
      <c r="Q99" s="932"/>
      <c r="R99" s="933"/>
      <c r="S99" s="934" t="s">
        <v>252</v>
      </c>
      <c r="T99" s="928" t="s">
        <v>253</v>
      </c>
      <c r="U99" s="8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V99" s="166"/>
      <c r="AW99" s="166"/>
      <c r="AX99" s="166"/>
    </row>
    <row r="100" spans="1:50" ht="30" customHeight="1" thickBot="1" x14ac:dyDescent="0.25">
      <c r="B100" s="179"/>
      <c r="C100" s="180"/>
      <c r="D100" s="949"/>
      <c r="E100" s="927"/>
      <c r="F100" s="927"/>
      <c r="G100" s="927"/>
      <c r="H100" s="927"/>
      <c r="I100" s="927"/>
      <c r="J100" s="927"/>
      <c r="K100" s="927"/>
      <c r="L100" s="929"/>
      <c r="O100" s="930"/>
      <c r="P100" s="931"/>
      <c r="Q100" s="932"/>
      <c r="R100" s="933"/>
      <c r="S100" s="935"/>
      <c r="T100" s="929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V100" s="166"/>
      <c r="AW100" s="166"/>
      <c r="AX100" s="166"/>
    </row>
    <row r="101" spans="1:50" ht="30" customHeight="1" thickBot="1" x14ac:dyDescent="0.25">
      <c r="A101" s="181"/>
      <c r="B101" s="182"/>
      <c r="C101" s="183"/>
      <c r="D101" s="183"/>
      <c r="E101" s="183"/>
      <c r="F101" s="183"/>
      <c r="G101" s="183"/>
      <c r="H101" s="183"/>
      <c r="I101" s="184"/>
      <c r="J101" s="184"/>
      <c r="K101" s="184"/>
      <c r="L101" s="184"/>
      <c r="O101" s="185"/>
      <c r="P101" s="185"/>
      <c r="Q101" s="185"/>
      <c r="R101" s="185"/>
      <c r="S101" s="186"/>
      <c r="T101" s="187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V101" s="166"/>
      <c r="AW101" s="166"/>
      <c r="AX101" s="166"/>
    </row>
    <row r="102" spans="1:50" ht="30" customHeight="1" x14ac:dyDescent="0.2">
      <c r="A102" s="875" t="s">
        <v>320</v>
      </c>
      <c r="B102" s="916"/>
      <c r="C102" s="881" t="s">
        <v>324</v>
      </c>
      <c r="D102" s="921" t="s">
        <v>254</v>
      </c>
      <c r="E102" s="862" t="s">
        <v>296</v>
      </c>
      <c r="F102" s="188">
        <v>18.2</v>
      </c>
      <c r="G102" s="189">
        <v>0.1</v>
      </c>
      <c r="H102" s="190">
        <v>0</v>
      </c>
      <c r="I102" s="924">
        <v>0.2</v>
      </c>
      <c r="J102" s="924">
        <v>1.96</v>
      </c>
      <c r="K102" s="905">
        <v>42580</v>
      </c>
      <c r="L102" s="907" t="s">
        <v>283</v>
      </c>
      <c r="O102" s="191"/>
      <c r="P102" s="192" t="s">
        <v>317</v>
      </c>
      <c r="Q102" s="193" t="s">
        <v>318</v>
      </c>
      <c r="R102" s="193" t="s">
        <v>319</v>
      </c>
      <c r="S102" s="910" t="s">
        <v>325</v>
      </c>
      <c r="T102" s="911" t="s">
        <v>326</v>
      </c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V102" s="166"/>
      <c r="AW102" s="166"/>
      <c r="AX102" s="166"/>
    </row>
    <row r="103" spans="1:50" ht="30" customHeight="1" x14ac:dyDescent="0.2">
      <c r="A103" s="917"/>
      <c r="B103" s="918"/>
      <c r="C103" s="882"/>
      <c r="D103" s="922"/>
      <c r="E103" s="853"/>
      <c r="F103" s="194">
        <v>20.100000000000001</v>
      </c>
      <c r="G103" s="195">
        <v>0.1</v>
      </c>
      <c r="H103" s="196">
        <v>0</v>
      </c>
      <c r="I103" s="913"/>
      <c r="J103" s="913"/>
      <c r="K103" s="891"/>
      <c r="L103" s="908"/>
      <c r="O103" s="846" t="s">
        <v>343</v>
      </c>
      <c r="P103" s="197">
        <f>I102</f>
        <v>0.2</v>
      </c>
      <c r="Q103" s="198">
        <f>I105</f>
        <v>1.7</v>
      </c>
      <c r="R103" s="198">
        <f>I108</f>
        <v>0.06</v>
      </c>
      <c r="S103" s="841"/>
      <c r="T103" s="844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V103" s="166"/>
      <c r="AW103" s="166"/>
      <c r="AX103" s="166"/>
    </row>
    <row r="104" spans="1:50" ht="30" customHeight="1" thickBot="1" x14ac:dyDescent="0.25">
      <c r="A104" s="919"/>
      <c r="B104" s="920"/>
      <c r="C104" s="882"/>
      <c r="D104" s="922"/>
      <c r="E104" s="853"/>
      <c r="F104" s="199">
        <v>22</v>
      </c>
      <c r="G104" s="195">
        <v>0.1</v>
      </c>
      <c r="H104" s="196">
        <v>0</v>
      </c>
      <c r="I104" s="914"/>
      <c r="J104" s="914"/>
      <c r="K104" s="906"/>
      <c r="L104" s="909"/>
      <c r="O104" s="847"/>
      <c r="P104" s="200"/>
      <c r="Q104" s="201"/>
      <c r="R104" s="201"/>
      <c r="S104" s="842"/>
      <c r="T104" s="845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V104" s="166"/>
      <c r="AW104" s="166"/>
      <c r="AX104" s="166"/>
    </row>
    <row r="105" spans="1:50" ht="30" customHeight="1" x14ac:dyDescent="0.2">
      <c r="A105" s="863" t="s">
        <v>321</v>
      </c>
      <c r="B105" s="864"/>
      <c r="C105" s="882"/>
      <c r="D105" s="922"/>
      <c r="E105" s="853"/>
      <c r="F105" s="202">
        <v>41.8</v>
      </c>
      <c r="G105" s="195">
        <v>0.1</v>
      </c>
      <c r="H105" s="202">
        <v>-1.8</v>
      </c>
      <c r="I105" s="912">
        <v>1.7</v>
      </c>
      <c r="J105" s="912">
        <v>1.96</v>
      </c>
      <c r="K105" s="890">
        <v>42586</v>
      </c>
      <c r="L105" s="915" t="s">
        <v>297</v>
      </c>
      <c r="O105" s="86"/>
      <c r="P105" s="86"/>
      <c r="Q105" s="86"/>
      <c r="R105" s="86"/>
      <c r="S105" s="86"/>
      <c r="T105" s="8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V105" s="166"/>
      <c r="AW105" s="166"/>
      <c r="AX105" s="166"/>
    </row>
    <row r="106" spans="1:50" ht="30" customHeight="1" x14ac:dyDescent="0.2">
      <c r="A106" s="865"/>
      <c r="B106" s="866"/>
      <c r="C106" s="882"/>
      <c r="D106" s="922"/>
      <c r="E106" s="853"/>
      <c r="F106" s="202">
        <v>50.4</v>
      </c>
      <c r="G106" s="195">
        <v>0.1</v>
      </c>
      <c r="H106" s="202">
        <v>-0.4</v>
      </c>
      <c r="I106" s="913"/>
      <c r="J106" s="913"/>
      <c r="K106" s="891"/>
      <c r="L106" s="908"/>
      <c r="O106" s="86"/>
      <c r="P106" s="86"/>
      <c r="Q106" s="86"/>
      <c r="R106" s="86"/>
      <c r="S106" s="86"/>
      <c r="T106" s="8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V106" s="166"/>
      <c r="AW106" s="166"/>
      <c r="AX106" s="166"/>
    </row>
    <row r="107" spans="1:50" ht="30" customHeight="1" thickBot="1" x14ac:dyDescent="0.25">
      <c r="A107" s="867"/>
      <c r="B107" s="868"/>
      <c r="C107" s="882"/>
      <c r="D107" s="922"/>
      <c r="E107" s="853"/>
      <c r="F107" s="202">
        <v>59.3</v>
      </c>
      <c r="G107" s="195">
        <v>0.1</v>
      </c>
      <c r="H107" s="202">
        <v>0.8</v>
      </c>
      <c r="I107" s="914"/>
      <c r="J107" s="914"/>
      <c r="K107" s="906"/>
      <c r="L107" s="909"/>
      <c r="O107" s="86"/>
      <c r="P107" s="86"/>
      <c r="Q107" s="86"/>
      <c r="R107" s="86"/>
      <c r="S107" s="8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V107" s="166"/>
      <c r="AW107" s="166"/>
      <c r="AX107" s="166"/>
    </row>
    <row r="108" spans="1:50" ht="30" customHeight="1" x14ac:dyDescent="0.2">
      <c r="A108" s="865" t="s">
        <v>327</v>
      </c>
      <c r="B108" s="866"/>
      <c r="C108" s="882"/>
      <c r="D108" s="922"/>
      <c r="E108" s="853"/>
      <c r="F108" s="202">
        <v>397.9</v>
      </c>
      <c r="G108" s="194">
        <v>0.1</v>
      </c>
      <c r="H108" s="202">
        <v>-1.3</v>
      </c>
      <c r="I108" s="912">
        <v>0.06</v>
      </c>
      <c r="J108" s="912">
        <v>2</v>
      </c>
      <c r="K108" s="890">
        <v>42625</v>
      </c>
      <c r="L108" s="893" t="s">
        <v>298</v>
      </c>
      <c r="O108" s="86"/>
      <c r="P108" s="86"/>
      <c r="Q108" s="86"/>
      <c r="R108" s="86"/>
      <c r="S108" s="8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V108" s="166"/>
      <c r="AW108" s="166"/>
      <c r="AX108" s="166"/>
    </row>
    <row r="109" spans="1:50" ht="30" customHeight="1" x14ac:dyDescent="0.2">
      <c r="A109" s="865"/>
      <c r="B109" s="866"/>
      <c r="C109" s="882"/>
      <c r="D109" s="922"/>
      <c r="E109" s="853"/>
      <c r="F109" s="194">
        <v>753.1</v>
      </c>
      <c r="G109" s="194">
        <v>0.1</v>
      </c>
      <c r="H109" s="194">
        <v>-0.74</v>
      </c>
      <c r="I109" s="913"/>
      <c r="J109" s="913"/>
      <c r="K109" s="891"/>
      <c r="L109" s="894"/>
      <c r="O109" s="86"/>
      <c r="P109" s="86"/>
      <c r="Q109" s="86"/>
      <c r="R109" s="86"/>
      <c r="S109" s="8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V109" s="166"/>
      <c r="AW109" s="166"/>
      <c r="AX109" s="166"/>
    </row>
    <row r="110" spans="1:50" ht="30" customHeight="1" thickBot="1" x14ac:dyDescent="0.25">
      <c r="A110" s="867"/>
      <c r="B110" s="868"/>
      <c r="C110" s="883"/>
      <c r="D110" s="923"/>
      <c r="E110" s="854"/>
      <c r="F110" s="203">
        <v>899</v>
      </c>
      <c r="G110" s="204">
        <v>0.1</v>
      </c>
      <c r="H110" s="204">
        <v>-0.09</v>
      </c>
      <c r="I110" s="925"/>
      <c r="J110" s="925"/>
      <c r="K110" s="892"/>
      <c r="L110" s="895"/>
      <c r="O110" s="86"/>
      <c r="P110" s="86"/>
      <c r="Q110" s="86"/>
      <c r="R110" s="86"/>
      <c r="S110" s="8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V110" s="166"/>
      <c r="AW110" s="166"/>
      <c r="AX110" s="166"/>
    </row>
    <row r="111" spans="1:50" ht="30" customHeight="1" thickBot="1" x14ac:dyDescent="0.25">
      <c r="A111" s="205"/>
      <c r="B111" s="205"/>
      <c r="C111" s="206"/>
      <c r="D111" s="207"/>
      <c r="E111" s="208"/>
      <c r="F111" s="209"/>
      <c r="G111" s="206"/>
      <c r="H111" s="206"/>
      <c r="I111" s="206"/>
      <c r="J111" s="206"/>
      <c r="K111" s="210"/>
      <c r="L111" s="206"/>
      <c r="O111" s="86"/>
      <c r="P111" s="86"/>
      <c r="Q111" s="86"/>
      <c r="R111" s="86"/>
      <c r="S111" s="86"/>
      <c r="U111" s="8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</row>
    <row r="112" spans="1:50" ht="30" customHeight="1" thickBot="1" x14ac:dyDescent="0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O112" s="86"/>
      <c r="P112" s="86"/>
      <c r="Q112" s="86"/>
      <c r="R112" s="86"/>
      <c r="S112" s="86"/>
      <c r="U112" s="8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</row>
    <row r="113" spans="1:50" ht="30" customHeight="1" x14ac:dyDescent="0.2">
      <c r="A113" s="896" t="s">
        <v>320</v>
      </c>
      <c r="B113" s="897"/>
      <c r="C113" s="881" t="s">
        <v>328</v>
      </c>
      <c r="D113" s="902" t="s">
        <v>254</v>
      </c>
      <c r="E113" s="862">
        <v>19506160802033</v>
      </c>
      <c r="F113" s="190">
        <v>20</v>
      </c>
      <c r="G113" s="189">
        <v>0.1</v>
      </c>
      <c r="H113" s="189">
        <v>-0.1</v>
      </c>
      <c r="I113" s="852">
        <v>1.5</v>
      </c>
      <c r="J113" s="852">
        <v>2</v>
      </c>
      <c r="K113" s="903">
        <v>42675</v>
      </c>
      <c r="L113" s="904" t="s">
        <v>293</v>
      </c>
      <c r="O113" s="211"/>
      <c r="P113" s="212" t="s">
        <v>317</v>
      </c>
      <c r="Q113" s="213" t="s">
        <v>318</v>
      </c>
      <c r="R113" s="213" t="s">
        <v>319</v>
      </c>
      <c r="S113" s="840" t="s">
        <v>322</v>
      </c>
      <c r="T113" s="843" t="s">
        <v>315</v>
      </c>
      <c r="U113" s="8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</row>
    <row r="114" spans="1:50" ht="30" customHeight="1" x14ac:dyDescent="0.2">
      <c r="A114" s="898"/>
      <c r="B114" s="899"/>
      <c r="C114" s="882"/>
      <c r="D114" s="853"/>
      <c r="E114" s="853"/>
      <c r="F114" s="194">
        <v>28.1</v>
      </c>
      <c r="G114" s="194">
        <v>0.1</v>
      </c>
      <c r="H114" s="194">
        <v>0.1</v>
      </c>
      <c r="I114" s="853"/>
      <c r="J114" s="853"/>
      <c r="K114" s="853"/>
      <c r="L114" s="873"/>
      <c r="O114" s="846" t="s">
        <v>316</v>
      </c>
      <c r="P114" s="197">
        <f>I113</f>
        <v>1.5</v>
      </c>
      <c r="Q114" s="214">
        <f>I116</f>
        <v>1.6</v>
      </c>
      <c r="R114" s="215">
        <f>I119</f>
        <v>0.21</v>
      </c>
      <c r="S114" s="841"/>
      <c r="T114" s="844"/>
      <c r="U114" s="8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</row>
    <row r="115" spans="1:50" ht="30" customHeight="1" thickBot="1" x14ac:dyDescent="0.25">
      <c r="A115" s="900"/>
      <c r="B115" s="901"/>
      <c r="C115" s="882"/>
      <c r="D115" s="853"/>
      <c r="E115" s="853"/>
      <c r="F115" s="194">
        <v>32.1</v>
      </c>
      <c r="G115" s="194">
        <v>0.1</v>
      </c>
      <c r="H115" s="194">
        <v>0.1</v>
      </c>
      <c r="I115" s="888"/>
      <c r="J115" s="888"/>
      <c r="K115" s="888"/>
      <c r="L115" s="889"/>
      <c r="O115" s="847"/>
      <c r="P115" s="200"/>
      <c r="Q115" s="201"/>
      <c r="R115" s="201"/>
      <c r="S115" s="842"/>
      <c r="T115" s="845"/>
      <c r="U115" s="8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</row>
    <row r="116" spans="1:50" ht="30" customHeight="1" x14ac:dyDescent="0.2">
      <c r="A116" s="863" t="s">
        <v>321</v>
      </c>
      <c r="B116" s="864"/>
      <c r="C116" s="882"/>
      <c r="D116" s="853"/>
      <c r="E116" s="853"/>
      <c r="F116" s="194">
        <v>50.1</v>
      </c>
      <c r="G116" s="216">
        <v>0.1</v>
      </c>
      <c r="H116" s="216">
        <v>0.9</v>
      </c>
      <c r="I116" s="887">
        <v>1.6</v>
      </c>
      <c r="J116" s="870">
        <v>2</v>
      </c>
      <c r="K116" s="871">
        <v>42676</v>
      </c>
      <c r="L116" s="872" t="s">
        <v>294</v>
      </c>
      <c r="O116" s="86"/>
      <c r="P116" s="86"/>
      <c r="Q116" s="86"/>
      <c r="R116" s="86"/>
      <c r="U116" s="8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</row>
    <row r="117" spans="1:50" ht="30" customHeight="1" x14ac:dyDescent="0.2">
      <c r="A117" s="865"/>
      <c r="B117" s="866"/>
      <c r="C117" s="882"/>
      <c r="D117" s="853"/>
      <c r="E117" s="853"/>
      <c r="F117" s="194">
        <v>59.9</v>
      </c>
      <c r="G117" s="216">
        <v>0.1</v>
      </c>
      <c r="H117" s="216">
        <v>0.5</v>
      </c>
      <c r="I117" s="853"/>
      <c r="J117" s="853"/>
      <c r="K117" s="853"/>
      <c r="L117" s="873"/>
      <c r="O117" s="86"/>
      <c r="P117" s="86"/>
      <c r="Q117" s="86"/>
      <c r="R117" s="86"/>
      <c r="U117" s="8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</row>
    <row r="118" spans="1:50" ht="30" customHeight="1" thickBot="1" x14ac:dyDescent="0.25">
      <c r="A118" s="867"/>
      <c r="B118" s="868"/>
      <c r="C118" s="882"/>
      <c r="D118" s="853"/>
      <c r="E118" s="853"/>
      <c r="F118" s="194">
        <v>69.099999999999994</v>
      </c>
      <c r="G118" s="216">
        <v>0.1</v>
      </c>
      <c r="H118" s="216">
        <v>0.1</v>
      </c>
      <c r="I118" s="888"/>
      <c r="J118" s="888"/>
      <c r="K118" s="888"/>
      <c r="L118" s="889"/>
      <c r="O118" s="86"/>
      <c r="P118" s="86"/>
      <c r="Q118" s="86"/>
      <c r="R118" s="86"/>
      <c r="U118" s="86"/>
      <c r="V118" s="8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</row>
    <row r="119" spans="1:50" ht="30" customHeight="1" x14ac:dyDescent="0.2">
      <c r="A119" s="863" t="s">
        <v>327</v>
      </c>
      <c r="B119" s="864"/>
      <c r="C119" s="882"/>
      <c r="D119" s="853"/>
      <c r="E119" s="853"/>
      <c r="F119" s="217">
        <v>499</v>
      </c>
      <c r="G119" s="216">
        <v>0.1</v>
      </c>
      <c r="H119" s="216">
        <v>-1</v>
      </c>
      <c r="I119" s="869">
        <v>0.21</v>
      </c>
      <c r="J119" s="870">
        <v>1.6</v>
      </c>
      <c r="K119" s="871">
        <v>42671</v>
      </c>
      <c r="L119" s="872" t="s">
        <v>295</v>
      </c>
      <c r="O119" s="86"/>
      <c r="P119" s="86"/>
      <c r="Q119" s="86"/>
      <c r="R119" s="86"/>
      <c r="T119" s="218"/>
      <c r="U119" s="86"/>
      <c r="V119" s="8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</row>
    <row r="120" spans="1:50" ht="30" customHeight="1" x14ac:dyDescent="0.2">
      <c r="A120" s="865"/>
      <c r="B120" s="866"/>
      <c r="C120" s="882"/>
      <c r="D120" s="853"/>
      <c r="E120" s="853"/>
      <c r="F120" s="194">
        <v>799.8</v>
      </c>
      <c r="G120" s="216">
        <v>0.1</v>
      </c>
      <c r="H120" s="216">
        <v>-0.4</v>
      </c>
      <c r="I120" s="853"/>
      <c r="J120" s="853"/>
      <c r="K120" s="853"/>
      <c r="L120" s="873"/>
      <c r="O120" s="86"/>
      <c r="P120" s="86"/>
      <c r="Q120" s="86"/>
      <c r="R120" s="86"/>
      <c r="T120" s="164"/>
      <c r="U120" s="86"/>
      <c r="V120" s="86"/>
    </row>
    <row r="121" spans="1:50" ht="30" customHeight="1" thickBot="1" x14ac:dyDescent="0.25">
      <c r="A121" s="867"/>
      <c r="B121" s="868"/>
      <c r="C121" s="883"/>
      <c r="D121" s="854"/>
      <c r="E121" s="854"/>
      <c r="F121" s="204">
        <v>1099.8</v>
      </c>
      <c r="G121" s="219">
        <v>0.1</v>
      </c>
      <c r="H121" s="219">
        <v>-0.4</v>
      </c>
      <c r="I121" s="854"/>
      <c r="J121" s="854"/>
      <c r="K121" s="854"/>
      <c r="L121" s="874"/>
      <c r="O121" s="86"/>
      <c r="P121" s="86"/>
      <c r="Q121" s="86"/>
      <c r="R121" s="86"/>
      <c r="T121" s="164"/>
      <c r="U121" s="86"/>
      <c r="V121" s="86"/>
    </row>
    <row r="122" spans="1:50" ht="30" customHeight="1" thickBot="1" x14ac:dyDescent="0.25">
      <c r="A122" s="220"/>
      <c r="B122" s="221"/>
      <c r="C122" s="138"/>
      <c r="D122" s="222"/>
      <c r="E122" s="223"/>
      <c r="F122" s="138"/>
      <c r="G122" s="138"/>
      <c r="H122" s="138"/>
      <c r="I122" s="138"/>
      <c r="J122" s="138"/>
      <c r="K122" s="224"/>
      <c r="L122" s="225"/>
      <c r="O122" s="86"/>
      <c r="P122" s="86"/>
      <c r="Q122" s="86"/>
      <c r="R122" s="86"/>
      <c r="T122" s="164"/>
      <c r="U122" s="86"/>
      <c r="V122" s="86"/>
    </row>
    <row r="123" spans="1:50" ht="30" customHeight="1" thickBot="1" x14ac:dyDescent="0.25">
      <c r="A123" s="226"/>
      <c r="B123" s="185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O123" s="86"/>
      <c r="P123" s="86"/>
      <c r="Q123" s="86"/>
      <c r="R123" s="86"/>
      <c r="T123" s="164"/>
      <c r="U123" s="86"/>
      <c r="V123" s="86"/>
    </row>
    <row r="124" spans="1:50" ht="30" customHeight="1" x14ac:dyDescent="0.2">
      <c r="A124" s="875" t="s">
        <v>320</v>
      </c>
      <c r="B124" s="876"/>
      <c r="C124" s="881" t="s">
        <v>329</v>
      </c>
      <c r="D124" s="849" t="s">
        <v>254</v>
      </c>
      <c r="E124" s="862">
        <v>19406160802033</v>
      </c>
      <c r="F124" s="190">
        <v>16</v>
      </c>
      <c r="G124" s="189">
        <v>0.1</v>
      </c>
      <c r="H124" s="189">
        <v>-0.1</v>
      </c>
      <c r="I124" s="859">
        <v>1.5</v>
      </c>
      <c r="J124" s="859">
        <v>2</v>
      </c>
      <c r="K124" s="860">
        <v>42674</v>
      </c>
      <c r="L124" s="861" t="s">
        <v>291</v>
      </c>
      <c r="O124" s="211"/>
      <c r="P124" s="212" t="s">
        <v>317</v>
      </c>
      <c r="Q124" s="213" t="s">
        <v>318</v>
      </c>
      <c r="R124" s="213" t="s">
        <v>319</v>
      </c>
      <c r="S124" s="840" t="s">
        <v>330</v>
      </c>
      <c r="T124" s="843" t="s">
        <v>331</v>
      </c>
      <c r="U124" s="86"/>
      <c r="V124" s="86"/>
    </row>
    <row r="125" spans="1:50" ht="30" customHeight="1" x14ac:dyDescent="0.2">
      <c r="A125" s="877"/>
      <c r="B125" s="878"/>
      <c r="C125" s="882"/>
      <c r="D125" s="851"/>
      <c r="E125" s="853"/>
      <c r="F125" s="194">
        <v>20.100000000000001</v>
      </c>
      <c r="G125" s="194">
        <v>0.1</v>
      </c>
      <c r="H125" s="194">
        <v>-0.1</v>
      </c>
      <c r="I125" s="820"/>
      <c r="J125" s="820"/>
      <c r="K125" s="820"/>
      <c r="L125" s="827" t="s">
        <v>290</v>
      </c>
      <c r="O125" s="846" t="s">
        <v>344</v>
      </c>
      <c r="P125" s="197">
        <f>I124</f>
        <v>1.5</v>
      </c>
      <c r="Q125" s="198">
        <f>I127</f>
        <v>1.6</v>
      </c>
      <c r="R125" s="198">
        <f>I130</f>
        <v>0.21</v>
      </c>
      <c r="S125" s="841"/>
      <c r="T125" s="844"/>
      <c r="U125" s="86"/>
      <c r="V125" s="86"/>
    </row>
    <row r="126" spans="1:50" ht="30" customHeight="1" thickBot="1" x14ac:dyDescent="0.25">
      <c r="A126" s="879"/>
      <c r="B126" s="880"/>
      <c r="C126" s="882"/>
      <c r="D126" s="851"/>
      <c r="E126" s="853"/>
      <c r="F126" s="194">
        <v>24.4</v>
      </c>
      <c r="G126" s="195">
        <v>0.1</v>
      </c>
      <c r="H126" s="194">
        <v>0.1</v>
      </c>
      <c r="I126" s="820"/>
      <c r="J126" s="820"/>
      <c r="K126" s="820"/>
      <c r="L126" s="827"/>
      <c r="O126" s="847"/>
      <c r="P126" s="200"/>
      <c r="Q126" s="201"/>
      <c r="R126" s="201"/>
      <c r="S126" s="842"/>
      <c r="T126" s="845"/>
      <c r="U126" s="86"/>
      <c r="V126" s="86"/>
    </row>
    <row r="127" spans="1:50" ht="30" customHeight="1" x14ac:dyDescent="0.2">
      <c r="A127" s="863" t="s">
        <v>321</v>
      </c>
      <c r="B127" s="884"/>
      <c r="C127" s="882"/>
      <c r="D127" s="851"/>
      <c r="E127" s="853"/>
      <c r="F127" s="194">
        <v>39.5</v>
      </c>
      <c r="G127" s="194">
        <v>0.1</v>
      </c>
      <c r="H127" s="194">
        <v>0.79</v>
      </c>
      <c r="I127" s="819">
        <v>1.6</v>
      </c>
      <c r="J127" s="819">
        <v>2</v>
      </c>
      <c r="K127" s="860">
        <v>42674</v>
      </c>
      <c r="L127" s="826" t="s">
        <v>290</v>
      </c>
      <c r="O127" s="86"/>
      <c r="P127" s="86"/>
      <c r="Q127" s="86"/>
      <c r="R127" s="86"/>
      <c r="T127" s="164"/>
      <c r="U127" s="86"/>
      <c r="V127" s="86"/>
    </row>
    <row r="128" spans="1:50" ht="30" customHeight="1" x14ac:dyDescent="0.2">
      <c r="A128" s="865"/>
      <c r="B128" s="885"/>
      <c r="C128" s="882"/>
      <c r="D128" s="851"/>
      <c r="E128" s="853"/>
      <c r="F128" s="194">
        <v>49.8</v>
      </c>
      <c r="G128" s="194">
        <v>0.1</v>
      </c>
      <c r="H128" s="194">
        <v>0.63</v>
      </c>
      <c r="I128" s="820">
        <v>1.6</v>
      </c>
      <c r="J128" s="820">
        <v>2</v>
      </c>
      <c r="K128" s="820"/>
      <c r="L128" s="827" t="s">
        <v>291</v>
      </c>
      <c r="O128" s="86"/>
      <c r="P128" s="86"/>
      <c r="Q128" s="86"/>
      <c r="R128" s="86"/>
      <c r="T128" s="164"/>
      <c r="U128" s="86"/>
      <c r="V128" s="86"/>
    </row>
    <row r="129" spans="1:22" ht="30" customHeight="1" thickBot="1" x14ac:dyDescent="0.25">
      <c r="A129" s="867"/>
      <c r="B129" s="886"/>
      <c r="C129" s="882"/>
      <c r="D129" s="851"/>
      <c r="E129" s="853"/>
      <c r="F129" s="194">
        <v>59.3</v>
      </c>
      <c r="G129" s="194">
        <v>0.1</v>
      </c>
      <c r="H129" s="194">
        <v>-0.13</v>
      </c>
      <c r="I129" s="820"/>
      <c r="J129" s="820"/>
      <c r="K129" s="820"/>
      <c r="L129" s="827"/>
      <c r="O129" s="86"/>
      <c r="P129" s="86"/>
      <c r="Q129" s="86"/>
      <c r="R129" s="86"/>
      <c r="T129" s="164"/>
      <c r="U129" s="86"/>
      <c r="V129" s="86"/>
    </row>
    <row r="130" spans="1:22" ht="30" customHeight="1" x14ac:dyDescent="0.2">
      <c r="A130" s="863" t="s">
        <v>327</v>
      </c>
      <c r="B130" s="884"/>
      <c r="C130" s="882"/>
      <c r="D130" s="851"/>
      <c r="E130" s="853"/>
      <c r="F130" s="217">
        <v>499</v>
      </c>
      <c r="G130" s="194">
        <v>0.1</v>
      </c>
      <c r="H130" s="217">
        <v>-1</v>
      </c>
      <c r="I130" s="819">
        <v>0.21</v>
      </c>
      <c r="J130" s="819">
        <v>2</v>
      </c>
      <c r="K130" s="825">
        <v>42671</v>
      </c>
      <c r="L130" s="826" t="s">
        <v>292</v>
      </c>
      <c r="O130" s="86"/>
      <c r="P130" s="86"/>
      <c r="Q130" s="86"/>
      <c r="R130" s="86"/>
      <c r="T130" s="164"/>
      <c r="U130" s="86"/>
      <c r="V130" s="86"/>
    </row>
    <row r="131" spans="1:22" ht="30" customHeight="1" x14ac:dyDescent="0.2">
      <c r="A131" s="865"/>
      <c r="B131" s="885"/>
      <c r="C131" s="882"/>
      <c r="D131" s="851"/>
      <c r="E131" s="853"/>
      <c r="F131" s="194">
        <v>799.8</v>
      </c>
      <c r="G131" s="194">
        <v>0.1</v>
      </c>
      <c r="H131" s="217">
        <v>-0.4</v>
      </c>
      <c r="I131" s="820">
        <v>0.17</v>
      </c>
      <c r="J131" s="820">
        <v>2</v>
      </c>
      <c r="K131" s="820">
        <v>42671</v>
      </c>
      <c r="L131" s="827" t="s">
        <v>292</v>
      </c>
      <c r="O131" s="86"/>
      <c r="P131" s="86"/>
      <c r="Q131" s="86"/>
      <c r="R131" s="86"/>
      <c r="T131" s="164"/>
      <c r="U131" s="86"/>
      <c r="V131" s="86"/>
    </row>
    <row r="132" spans="1:22" ht="30" customHeight="1" thickBot="1" x14ac:dyDescent="0.25">
      <c r="A132" s="867"/>
      <c r="B132" s="886"/>
      <c r="C132" s="883"/>
      <c r="D132" s="855"/>
      <c r="E132" s="854"/>
      <c r="F132" s="204">
        <v>1099.9000000000001</v>
      </c>
      <c r="G132" s="204">
        <v>0.1</v>
      </c>
      <c r="H132" s="203">
        <v>-0.3</v>
      </c>
      <c r="I132" s="821"/>
      <c r="J132" s="821"/>
      <c r="K132" s="821"/>
      <c r="L132" s="828"/>
      <c r="O132" s="86"/>
      <c r="P132" s="86"/>
      <c r="Q132" s="86"/>
      <c r="R132" s="86"/>
      <c r="T132" s="164"/>
      <c r="U132" s="86"/>
      <c r="V132" s="86"/>
    </row>
    <row r="133" spans="1:22" ht="30" customHeight="1" thickBot="1" x14ac:dyDescent="0.25">
      <c r="A133" s="181"/>
      <c r="B133" s="184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O133" s="86"/>
      <c r="P133" s="86"/>
      <c r="Q133" s="86"/>
      <c r="R133" s="86"/>
      <c r="T133" s="164"/>
      <c r="U133" s="86"/>
      <c r="V133" s="86"/>
    </row>
    <row r="134" spans="1:22" ht="30" customHeight="1" x14ac:dyDescent="0.2">
      <c r="A134" s="848" t="s">
        <v>320</v>
      </c>
      <c r="B134" s="849"/>
      <c r="C134" s="852" t="s">
        <v>332</v>
      </c>
      <c r="D134" s="849" t="s">
        <v>254</v>
      </c>
      <c r="E134" s="862" t="s">
        <v>286</v>
      </c>
      <c r="F134" s="189">
        <v>18.100000000000001</v>
      </c>
      <c r="G134" s="194">
        <v>0.1</v>
      </c>
      <c r="H134" s="190">
        <v>0</v>
      </c>
      <c r="I134" s="857">
        <v>0.2</v>
      </c>
      <c r="J134" s="859">
        <v>1.96</v>
      </c>
      <c r="K134" s="860">
        <v>42580</v>
      </c>
      <c r="L134" s="861" t="s">
        <v>333</v>
      </c>
      <c r="O134" s="211"/>
      <c r="P134" s="212" t="s">
        <v>317</v>
      </c>
      <c r="Q134" s="213" t="s">
        <v>318</v>
      </c>
      <c r="R134" s="213" t="s">
        <v>319</v>
      </c>
      <c r="S134" s="840" t="s">
        <v>325</v>
      </c>
      <c r="T134" s="843" t="s">
        <v>334</v>
      </c>
      <c r="U134" s="86"/>
      <c r="V134" s="86"/>
    </row>
    <row r="135" spans="1:22" ht="30" customHeight="1" x14ac:dyDescent="0.2">
      <c r="A135" s="850"/>
      <c r="B135" s="851"/>
      <c r="C135" s="853"/>
      <c r="D135" s="851"/>
      <c r="E135" s="853"/>
      <c r="F135" s="194">
        <v>20.100000000000001</v>
      </c>
      <c r="G135" s="194">
        <v>0.1</v>
      </c>
      <c r="H135" s="217">
        <v>0</v>
      </c>
      <c r="I135" s="858"/>
      <c r="J135" s="820"/>
      <c r="K135" s="820"/>
      <c r="L135" s="827"/>
      <c r="O135" s="846" t="s">
        <v>313</v>
      </c>
      <c r="P135" s="227">
        <f>I134</f>
        <v>0.2</v>
      </c>
      <c r="Q135" s="198">
        <f>I137</f>
        <v>1.7</v>
      </c>
      <c r="R135" s="198">
        <f>I140</f>
        <v>6.4000000000000001E-2</v>
      </c>
      <c r="S135" s="841"/>
      <c r="T135" s="844"/>
      <c r="U135" s="86"/>
      <c r="V135" s="86"/>
    </row>
    <row r="136" spans="1:22" ht="30" customHeight="1" thickBot="1" x14ac:dyDescent="0.25">
      <c r="A136" s="850"/>
      <c r="B136" s="851"/>
      <c r="C136" s="853"/>
      <c r="D136" s="851"/>
      <c r="E136" s="853"/>
      <c r="F136" s="217">
        <v>22</v>
      </c>
      <c r="G136" s="194">
        <v>0.1</v>
      </c>
      <c r="H136" s="217">
        <v>0</v>
      </c>
      <c r="I136" s="858">
        <v>0.2</v>
      </c>
      <c r="J136" s="820">
        <v>1.96</v>
      </c>
      <c r="K136" s="820">
        <v>42580</v>
      </c>
      <c r="L136" s="827" t="s">
        <v>287</v>
      </c>
      <c r="O136" s="847"/>
      <c r="P136" s="200"/>
      <c r="Q136" s="201"/>
      <c r="R136" s="201"/>
      <c r="S136" s="842"/>
      <c r="T136" s="845"/>
      <c r="U136" s="86"/>
      <c r="V136" s="86"/>
    </row>
    <row r="137" spans="1:22" ht="30" customHeight="1" x14ac:dyDescent="0.2">
      <c r="A137" s="815" t="s">
        <v>321</v>
      </c>
      <c r="B137" s="816"/>
      <c r="C137" s="853"/>
      <c r="D137" s="851"/>
      <c r="E137" s="853"/>
      <c r="F137" s="194">
        <v>41.8</v>
      </c>
      <c r="G137" s="194">
        <v>0.1</v>
      </c>
      <c r="H137" s="194">
        <v>-1.8</v>
      </c>
      <c r="I137" s="819">
        <v>1.7</v>
      </c>
      <c r="J137" s="819">
        <v>1.96</v>
      </c>
      <c r="K137" s="825">
        <v>42586</v>
      </c>
      <c r="L137" s="826" t="s">
        <v>335</v>
      </c>
      <c r="O137" s="86"/>
      <c r="P137" s="86"/>
      <c r="Q137" s="86"/>
      <c r="R137" s="86"/>
      <c r="T137" s="164"/>
      <c r="U137" s="86"/>
      <c r="V137" s="86"/>
    </row>
    <row r="138" spans="1:22" ht="30" customHeight="1" x14ac:dyDescent="0.2">
      <c r="A138" s="815"/>
      <c r="B138" s="816"/>
      <c r="C138" s="853"/>
      <c r="D138" s="851"/>
      <c r="E138" s="853"/>
      <c r="F138" s="194">
        <v>50.6</v>
      </c>
      <c r="G138" s="194">
        <v>0.1</v>
      </c>
      <c r="H138" s="194">
        <v>-0.6</v>
      </c>
      <c r="I138" s="820">
        <v>1.7</v>
      </c>
      <c r="J138" s="820">
        <v>1.96</v>
      </c>
      <c r="K138" s="820">
        <v>42586</v>
      </c>
      <c r="L138" s="827" t="s">
        <v>288</v>
      </c>
      <c r="O138" s="86"/>
      <c r="P138" s="86"/>
      <c r="Q138" s="86"/>
      <c r="R138" s="86"/>
      <c r="T138" s="164"/>
      <c r="U138" s="86"/>
      <c r="V138" s="86"/>
    </row>
    <row r="139" spans="1:22" ht="30" customHeight="1" x14ac:dyDescent="0.2">
      <c r="A139" s="815"/>
      <c r="B139" s="816"/>
      <c r="C139" s="853"/>
      <c r="D139" s="851"/>
      <c r="E139" s="853"/>
      <c r="F139" s="194">
        <v>59.4</v>
      </c>
      <c r="G139" s="194">
        <v>0.1</v>
      </c>
      <c r="H139" s="194">
        <v>0.6</v>
      </c>
      <c r="I139" s="820"/>
      <c r="J139" s="820"/>
      <c r="K139" s="820"/>
      <c r="L139" s="827"/>
      <c r="O139" s="86"/>
      <c r="P139" s="86"/>
      <c r="Q139" s="86"/>
      <c r="R139" s="86"/>
      <c r="T139" s="164"/>
      <c r="U139" s="86"/>
      <c r="V139" s="86"/>
    </row>
    <row r="140" spans="1:22" ht="30" customHeight="1" x14ac:dyDescent="0.2">
      <c r="A140" s="815" t="s">
        <v>327</v>
      </c>
      <c r="B140" s="816"/>
      <c r="C140" s="853"/>
      <c r="D140" s="851"/>
      <c r="E140" s="853"/>
      <c r="F140" s="194">
        <v>397.9</v>
      </c>
      <c r="G140" s="194">
        <v>0.1</v>
      </c>
      <c r="H140" s="194">
        <v>-1.3</v>
      </c>
      <c r="I140" s="819">
        <v>6.4000000000000001E-2</v>
      </c>
      <c r="J140" s="822">
        <v>2</v>
      </c>
      <c r="K140" s="825">
        <v>42625</v>
      </c>
      <c r="L140" s="826" t="s">
        <v>336</v>
      </c>
      <c r="O140" s="86"/>
      <c r="P140" s="86"/>
      <c r="Q140" s="86"/>
      <c r="R140" s="86"/>
      <c r="T140" s="87"/>
    </row>
    <row r="141" spans="1:22" ht="30" customHeight="1" x14ac:dyDescent="0.2">
      <c r="A141" s="815"/>
      <c r="B141" s="816"/>
      <c r="C141" s="853"/>
      <c r="D141" s="851"/>
      <c r="E141" s="853"/>
      <c r="F141" s="194">
        <v>753.2</v>
      </c>
      <c r="G141" s="194">
        <v>0.1</v>
      </c>
      <c r="H141" s="228">
        <v>-0.64100000000000001</v>
      </c>
      <c r="I141" s="820">
        <v>6.4000000000000001E-2</v>
      </c>
      <c r="J141" s="823">
        <v>2</v>
      </c>
      <c r="K141" s="820">
        <v>42625</v>
      </c>
      <c r="L141" s="827" t="s">
        <v>289</v>
      </c>
      <c r="O141" s="86"/>
      <c r="P141" s="86"/>
      <c r="Q141" s="86"/>
      <c r="R141" s="86"/>
      <c r="T141" s="87"/>
    </row>
    <row r="142" spans="1:22" ht="30" customHeight="1" thickBot="1" x14ac:dyDescent="0.25">
      <c r="A142" s="817"/>
      <c r="B142" s="818"/>
      <c r="C142" s="854"/>
      <c r="D142" s="855"/>
      <c r="E142" s="854"/>
      <c r="F142" s="204">
        <v>1099.3</v>
      </c>
      <c r="G142" s="194">
        <v>0.1</v>
      </c>
      <c r="H142" s="204">
        <v>-0.06</v>
      </c>
      <c r="I142" s="821"/>
      <c r="J142" s="824"/>
      <c r="K142" s="821"/>
      <c r="L142" s="828"/>
      <c r="O142" s="86"/>
      <c r="P142" s="86"/>
      <c r="Q142" s="86"/>
      <c r="R142" s="86"/>
      <c r="T142" s="87"/>
    </row>
    <row r="143" spans="1:22" ht="30" customHeight="1" thickBot="1" x14ac:dyDescent="0.25">
      <c r="A143" s="22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O143" s="86"/>
      <c r="P143" s="86"/>
      <c r="Q143" s="86"/>
      <c r="R143" s="86"/>
      <c r="T143" s="87"/>
    </row>
    <row r="144" spans="1:22" ht="30" customHeight="1" x14ac:dyDescent="0.2">
      <c r="A144" s="848" t="s">
        <v>320</v>
      </c>
      <c r="B144" s="849"/>
      <c r="C144" s="852" t="s">
        <v>337</v>
      </c>
      <c r="D144" s="849" t="s">
        <v>254</v>
      </c>
      <c r="E144" s="856" t="s">
        <v>282</v>
      </c>
      <c r="F144" s="189">
        <v>18.2</v>
      </c>
      <c r="G144" s="189">
        <v>0.1</v>
      </c>
      <c r="H144" s="189">
        <v>0</v>
      </c>
      <c r="I144" s="857">
        <v>0.2</v>
      </c>
      <c r="J144" s="859">
        <v>1.96</v>
      </c>
      <c r="K144" s="860">
        <v>42586</v>
      </c>
      <c r="L144" s="861" t="s">
        <v>338</v>
      </c>
      <c r="O144" s="211"/>
      <c r="P144" s="212" t="s">
        <v>317</v>
      </c>
      <c r="Q144" s="213" t="s">
        <v>318</v>
      </c>
      <c r="R144" s="213" t="s">
        <v>319</v>
      </c>
      <c r="S144" s="840" t="s">
        <v>339</v>
      </c>
      <c r="T144" s="843" t="s">
        <v>340</v>
      </c>
    </row>
    <row r="145" spans="1:20" ht="30" customHeight="1" x14ac:dyDescent="0.2">
      <c r="A145" s="850"/>
      <c r="B145" s="851"/>
      <c r="C145" s="853"/>
      <c r="D145" s="851"/>
      <c r="E145" s="853"/>
      <c r="F145" s="217">
        <v>20</v>
      </c>
      <c r="G145" s="194">
        <v>0.1</v>
      </c>
      <c r="H145" s="194">
        <v>0.1</v>
      </c>
      <c r="I145" s="858"/>
      <c r="J145" s="820"/>
      <c r="K145" s="820">
        <v>42586</v>
      </c>
      <c r="L145" s="827" t="s">
        <v>284</v>
      </c>
      <c r="O145" s="846" t="s">
        <v>345</v>
      </c>
      <c r="P145" s="227">
        <f>I144</f>
        <v>0.2</v>
      </c>
      <c r="Q145" s="198">
        <f>I147</f>
        <v>1.7</v>
      </c>
      <c r="R145" s="198">
        <f>I150</f>
        <v>6.4000000000000001E-2</v>
      </c>
      <c r="S145" s="841"/>
      <c r="T145" s="844"/>
    </row>
    <row r="146" spans="1:20" ht="30" customHeight="1" thickBot="1" x14ac:dyDescent="0.25">
      <c r="A146" s="850"/>
      <c r="B146" s="851"/>
      <c r="C146" s="853"/>
      <c r="D146" s="851"/>
      <c r="E146" s="853"/>
      <c r="F146" s="217">
        <v>22</v>
      </c>
      <c r="G146" s="194">
        <v>0.1</v>
      </c>
      <c r="H146" s="217">
        <v>0</v>
      </c>
      <c r="I146" s="858"/>
      <c r="J146" s="820"/>
      <c r="K146" s="820">
        <v>42625</v>
      </c>
      <c r="L146" s="827" t="s">
        <v>285</v>
      </c>
      <c r="O146" s="847"/>
      <c r="P146" s="200"/>
      <c r="Q146" s="201"/>
      <c r="R146" s="201"/>
      <c r="S146" s="842"/>
      <c r="T146" s="845"/>
    </row>
    <row r="147" spans="1:20" ht="30" customHeight="1" x14ac:dyDescent="0.2">
      <c r="A147" s="815" t="s">
        <v>321</v>
      </c>
      <c r="B147" s="816"/>
      <c r="C147" s="853"/>
      <c r="D147" s="851"/>
      <c r="E147" s="853"/>
      <c r="F147" s="194">
        <v>41.8</v>
      </c>
      <c r="G147" s="194">
        <v>0.1</v>
      </c>
      <c r="H147" s="194">
        <v>-1.8</v>
      </c>
      <c r="I147" s="819">
        <v>1.7</v>
      </c>
      <c r="J147" s="819">
        <v>1.96</v>
      </c>
      <c r="K147" s="825">
        <v>42586</v>
      </c>
      <c r="L147" s="826" t="s">
        <v>341</v>
      </c>
      <c r="O147" s="86"/>
      <c r="P147" s="86"/>
      <c r="Q147" s="86"/>
      <c r="R147" s="86"/>
      <c r="T147" s="87"/>
    </row>
    <row r="148" spans="1:20" ht="30" customHeight="1" x14ac:dyDescent="0.2">
      <c r="A148" s="815"/>
      <c r="B148" s="816"/>
      <c r="C148" s="853"/>
      <c r="D148" s="851"/>
      <c r="E148" s="853"/>
      <c r="F148" s="194">
        <v>50.5</v>
      </c>
      <c r="G148" s="194">
        <v>0.1</v>
      </c>
      <c r="H148" s="194">
        <v>-0.5</v>
      </c>
      <c r="I148" s="820"/>
      <c r="J148" s="820"/>
      <c r="K148" s="820">
        <v>42586</v>
      </c>
      <c r="L148" s="827" t="s">
        <v>284</v>
      </c>
      <c r="O148" s="86"/>
      <c r="P148" s="86"/>
      <c r="Q148" s="86"/>
      <c r="R148" s="86"/>
      <c r="T148" s="87"/>
    </row>
    <row r="149" spans="1:20" ht="30" customHeight="1" x14ac:dyDescent="0.2">
      <c r="A149" s="815"/>
      <c r="B149" s="816"/>
      <c r="C149" s="853"/>
      <c r="D149" s="851"/>
      <c r="E149" s="853"/>
      <c r="F149" s="194">
        <v>59.3</v>
      </c>
      <c r="G149" s="194">
        <v>0.1</v>
      </c>
      <c r="H149" s="194">
        <v>0.7</v>
      </c>
      <c r="I149" s="820"/>
      <c r="J149" s="820"/>
      <c r="K149" s="820">
        <v>42625</v>
      </c>
      <c r="L149" s="827" t="s">
        <v>285</v>
      </c>
      <c r="O149" s="86"/>
      <c r="P149" s="86"/>
      <c r="Q149" s="86"/>
      <c r="R149" s="86"/>
      <c r="T149" s="87"/>
    </row>
    <row r="150" spans="1:20" ht="30" customHeight="1" x14ac:dyDescent="0.2">
      <c r="A150" s="815" t="s">
        <v>327</v>
      </c>
      <c r="B150" s="816"/>
      <c r="C150" s="853"/>
      <c r="D150" s="851"/>
      <c r="E150" s="853"/>
      <c r="F150" s="217">
        <v>397.9</v>
      </c>
      <c r="G150" s="194">
        <v>0.1</v>
      </c>
      <c r="H150" s="194">
        <v>-1.34</v>
      </c>
      <c r="I150" s="819">
        <v>6.4000000000000001E-2</v>
      </c>
      <c r="J150" s="822">
        <v>1.96</v>
      </c>
      <c r="K150" s="825">
        <v>42625</v>
      </c>
      <c r="L150" s="826" t="s">
        <v>342</v>
      </c>
      <c r="O150" s="87"/>
      <c r="T150" s="87"/>
    </row>
    <row r="151" spans="1:20" ht="30" customHeight="1" x14ac:dyDescent="0.2">
      <c r="A151" s="815"/>
      <c r="B151" s="816"/>
      <c r="C151" s="853"/>
      <c r="D151" s="851"/>
      <c r="E151" s="853"/>
      <c r="F151" s="194">
        <v>753.2</v>
      </c>
      <c r="G151" s="194">
        <v>0.1</v>
      </c>
      <c r="H151" s="228">
        <v>-0.64100000000000001</v>
      </c>
      <c r="I151" s="820">
        <v>1.7</v>
      </c>
      <c r="J151" s="823">
        <v>1.96</v>
      </c>
      <c r="K151" s="820">
        <v>42586</v>
      </c>
      <c r="L151" s="827" t="s">
        <v>284</v>
      </c>
      <c r="O151" s="87"/>
      <c r="T151" s="87"/>
    </row>
    <row r="152" spans="1:20" ht="30" customHeight="1" thickBot="1" x14ac:dyDescent="0.25">
      <c r="A152" s="817"/>
      <c r="B152" s="818"/>
      <c r="C152" s="854"/>
      <c r="D152" s="855"/>
      <c r="E152" s="854"/>
      <c r="F152" s="204">
        <v>1099.2</v>
      </c>
      <c r="G152" s="204">
        <v>0.1</v>
      </c>
      <c r="H152" s="204">
        <v>-0.54</v>
      </c>
      <c r="I152" s="821">
        <v>6.4000000000000001E-2</v>
      </c>
      <c r="J152" s="824">
        <v>2</v>
      </c>
      <c r="K152" s="821">
        <v>42625</v>
      </c>
      <c r="L152" s="828" t="s">
        <v>285</v>
      </c>
      <c r="O152" s="87"/>
      <c r="T152" s="87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829" t="s">
        <v>231</v>
      </c>
      <c r="E155" s="830"/>
      <c r="F155" s="830"/>
      <c r="G155" s="830"/>
      <c r="H155" s="831"/>
      <c r="J155" s="835" t="s">
        <v>265</v>
      </c>
      <c r="K155" s="836"/>
      <c r="L155" s="836"/>
      <c r="M155" s="836"/>
    </row>
    <row r="156" spans="1:20" ht="30" customHeight="1" thickBot="1" x14ac:dyDescent="0.25">
      <c r="D156" s="832"/>
      <c r="E156" s="833"/>
      <c r="F156" s="833"/>
      <c r="G156" s="833"/>
      <c r="H156" s="834"/>
      <c r="J156" s="837" t="s">
        <v>188</v>
      </c>
      <c r="K156" s="838"/>
      <c r="L156" s="838"/>
      <c r="M156" s="839"/>
    </row>
    <row r="157" spans="1:20" ht="30" customHeight="1" x14ac:dyDescent="0.2">
      <c r="D157" s="230" t="s">
        <v>134</v>
      </c>
      <c r="E157" s="812" t="s">
        <v>232</v>
      </c>
      <c r="F157" s="813"/>
      <c r="G157" s="813"/>
      <c r="H157" s="814"/>
      <c r="J157" s="231">
        <v>5</v>
      </c>
      <c r="K157" s="232" t="s">
        <v>190</v>
      </c>
      <c r="L157" s="233">
        <v>8200</v>
      </c>
      <c r="M157" s="122"/>
    </row>
    <row r="158" spans="1:20" ht="30" customHeight="1" thickBot="1" x14ac:dyDescent="0.25">
      <c r="D158" s="234"/>
      <c r="E158" s="235"/>
      <c r="F158" s="236"/>
      <c r="G158" s="236"/>
      <c r="H158" s="237"/>
      <c r="J158" s="231"/>
      <c r="K158" s="238"/>
      <c r="L158" s="238"/>
      <c r="M158" s="239"/>
    </row>
    <row r="159" spans="1:20" ht="30" customHeight="1" x14ac:dyDescent="0.2">
      <c r="D159" s="240" t="s">
        <v>233</v>
      </c>
      <c r="E159" s="241" t="s">
        <v>234</v>
      </c>
      <c r="F159" s="242"/>
      <c r="G159" s="242" t="s">
        <v>235</v>
      </c>
      <c r="H159" s="243"/>
      <c r="J159" s="231"/>
      <c r="K159" s="238"/>
      <c r="L159" s="238"/>
      <c r="M159" s="239"/>
    </row>
    <row r="160" spans="1:20" ht="30" customHeight="1" x14ac:dyDescent="0.2">
      <c r="B160" s="86" t="e">
        <f>IF(#REF!&lt;=('DATOS 1'!I151),"")</f>
        <v>#REF!</v>
      </c>
      <c r="D160" s="240" t="s">
        <v>236</v>
      </c>
      <c r="E160" s="241" t="s">
        <v>237</v>
      </c>
      <c r="F160" s="242"/>
      <c r="G160" s="242" t="s">
        <v>238</v>
      </c>
      <c r="H160" s="243"/>
      <c r="J160" s="231"/>
      <c r="K160" s="244"/>
      <c r="L160" s="238"/>
      <c r="M160" s="239"/>
    </row>
    <row r="161" spans="4:13" ht="30" customHeight="1" x14ac:dyDescent="0.2">
      <c r="D161" s="240" t="s">
        <v>239</v>
      </c>
      <c r="E161" s="241" t="s">
        <v>240</v>
      </c>
      <c r="F161" s="242"/>
      <c r="G161" s="242" t="s">
        <v>241</v>
      </c>
      <c r="H161" s="243"/>
      <c r="J161" s="231"/>
      <c r="K161" s="245"/>
      <c r="L161" s="246"/>
      <c r="M161" s="247"/>
    </row>
    <row r="162" spans="4:13" ht="30" customHeight="1" thickBot="1" x14ac:dyDescent="0.25">
      <c r="D162" s="248" t="s">
        <v>242</v>
      </c>
      <c r="E162" s="249" t="s">
        <v>243</v>
      </c>
      <c r="F162" s="250"/>
      <c r="G162" s="251" t="s">
        <v>244</v>
      </c>
      <c r="H162" s="252"/>
      <c r="J162" s="231"/>
      <c r="K162" s="245"/>
      <c r="L162" s="245"/>
      <c r="M162" s="247"/>
    </row>
    <row r="163" spans="4:13" ht="30" customHeight="1" thickBot="1" x14ac:dyDescent="0.25">
      <c r="J163" s="253"/>
      <c r="K163" s="254"/>
      <c r="L163" s="255"/>
      <c r="M163" s="256"/>
    </row>
    <row r="164" spans="4:13" ht="30" customHeight="1" x14ac:dyDescent="0.2"/>
    <row r="165" spans="4:13" ht="30" customHeight="1" x14ac:dyDescent="0.2"/>
    <row r="199" spans="64:67" ht="35.1" customHeight="1" x14ac:dyDescent="0.25">
      <c r="BL199" s="257"/>
      <c r="BM199" s="257"/>
      <c r="BN199" s="257"/>
      <c r="BO199" s="257"/>
    </row>
    <row r="200" spans="64:67" ht="35.1" customHeight="1" x14ac:dyDescent="0.25">
      <c r="BL200" s="257"/>
      <c r="BM200" s="257"/>
      <c r="BN200" s="257"/>
      <c r="BO200" s="257"/>
    </row>
    <row r="201" spans="64:67" ht="35.1" customHeight="1" x14ac:dyDescent="0.25">
      <c r="BL201" s="257"/>
      <c r="BM201" s="257"/>
      <c r="BN201" s="257"/>
      <c r="BO201" s="257"/>
    </row>
    <row r="202" spans="64:67" ht="35.1" customHeight="1" x14ac:dyDescent="0.25">
      <c r="BL202" s="257"/>
      <c r="BM202" s="257"/>
      <c r="BN202" s="257"/>
      <c r="BO202" s="257"/>
    </row>
  </sheetData>
  <sheetProtection algorithmName="SHA-512" hashValue="gHqk8EcakJ+uTk0J1FiFuVgDf66Vh+8Y5GMXhHeOls24o7NRTz5+G32cb4zdwSCmQgEkqbDXbL3sGxThga+Zig==" saltValue="icYVeXTGG7yABhIcgVEWqA==" spinCount="100000" sheet="1" objects="1" scenarios="1"/>
  <mergeCells count="167">
    <mergeCell ref="C3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12:L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C23:R24"/>
    <mergeCell ref="C25:C26"/>
    <mergeCell ref="D25:D26"/>
    <mergeCell ref="E25:E26"/>
    <mergeCell ref="F25:F26"/>
    <mergeCell ref="G25:G26"/>
    <mergeCell ref="H25:H26"/>
    <mergeCell ref="I25:I26"/>
    <mergeCell ref="P25:P26"/>
    <mergeCell ref="Q25:Q26"/>
    <mergeCell ref="R25:R26"/>
    <mergeCell ref="B28:B32"/>
    <mergeCell ref="B38:B54"/>
    <mergeCell ref="B55:B70"/>
    <mergeCell ref="J25:J26"/>
    <mergeCell ref="K25:K26"/>
    <mergeCell ref="L25:L26"/>
    <mergeCell ref="M25:M26"/>
    <mergeCell ref="N25:N26"/>
    <mergeCell ref="O25:O26"/>
    <mergeCell ref="K99:K100"/>
    <mergeCell ref="L99:L100"/>
    <mergeCell ref="O99:O100"/>
    <mergeCell ref="P99:R100"/>
    <mergeCell ref="S99:S100"/>
    <mergeCell ref="T99:T100"/>
    <mergeCell ref="B73:B88"/>
    <mergeCell ref="C96:T97"/>
    <mergeCell ref="C98:T98"/>
    <mergeCell ref="D99:D100"/>
    <mergeCell ref="E99:E100"/>
    <mergeCell ref="F99:F100"/>
    <mergeCell ref="G99:G100"/>
    <mergeCell ref="H99:H100"/>
    <mergeCell ref="I99:I100"/>
    <mergeCell ref="J99:J100"/>
    <mergeCell ref="K102:K104"/>
    <mergeCell ref="L102:L104"/>
    <mergeCell ref="S102:S104"/>
    <mergeCell ref="T102:T104"/>
    <mergeCell ref="O103:O104"/>
    <mergeCell ref="A105:B107"/>
    <mergeCell ref="I105:I107"/>
    <mergeCell ref="J105:J107"/>
    <mergeCell ref="K105:K107"/>
    <mergeCell ref="L105:L107"/>
    <mergeCell ref="A102:B104"/>
    <mergeCell ref="C102:C110"/>
    <mergeCell ref="D102:D110"/>
    <mergeCell ref="E102:E110"/>
    <mergeCell ref="I102:I104"/>
    <mergeCell ref="J102:J104"/>
    <mergeCell ref="A108:B110"/>
    <mergeCell ref="I108:I110"/>
    <mergeCell ref="J108:J110"/>
    <mergeCell ref="S113:S115"/>
    <mergeCell ref="T113:T115"/>
    <mergeCell ref="O114:O115"/>
    <mergeCell ref="A116:B118"/>
    <mergeCell ref="I116:I118"/>
    <mergeCell ref="J116:J118"/>
    <mergeCell ref="K116:K118"/>
    <mergeCell ref="L116:L118"/>
    <mergeCell ref="K108:K110"/>
    <mergeCell ref="L108:L110"/>
    <mergeCell ref="A113:B115"/>
    <mergeCell ref="C113:C121"/>
    <mergeCell ref="D113:D121"/>
    <mergeCell ref="E113:E121"/>
    <mergeCell ref="I113:I115"/>
    <mergeCell ref="J113:J115"/>
    <mergeCell ref="K113:K115"/>
    <mergeCell ref="L113:L115"/>
    <mergeCell ref="J124:J126"/>
    <mergeCell ref="K124:K126"/>
    <mergeCell ref="L124:L126"/>
    <mergeCell ref="S124:S126"/>
    <mergeCell ref="T124:T126"/>
    <mergeCell ref="O125:O126"/>
    <mergeCell ref="A119:B121"/>
    <mergeCell ref="I119:I121"/>
    <mergeCell ref="J119:J121"/>
    <mergeCell ref="K119:K121"/>
    <mergeCell ref="L119:L121"/>
    <mergeCell ref="A124:B126"/>
    <mergeCell ref="C124:C132"/>
    <mergeCell ref="D124:D132"/>
    <mergeCell ref="E124:E132"/>
    <mergeCell ref="I124:I126"/>
    <mergeCell ref="A127:B129"/>
    <mergeCell ref="I127:I129"/>
    <mergeCell ref="J127:J129"/>
    <mergeCell ref="K127:K129"/>
    <mergeCell ref="L127:L129"/>
    <mergeCell ref="A130:B132"/>
    <mergeCell ref="I130:I132"/>
    <mergeCell ref="J130:J132"/>
    <mergeCell ref="K130:K132"/>
    <mergeCell ref="L130:L132"/>
    <mergeCell ref="K134:K136"/>
    <mergeCell ref="L134:L136"/>
    <mergeCell ref="S134:S136"/>
    <mergeCell ref="T134:T136"/>
    <mergeCell ref="O135:O136"/>
    <mergeCell ref="A137:B139"/>
    <mergeCell ref="I137:I139"/>
    <mergeCell ref="J137:J139"/>
    <mergeCell ref="K137:K139"/>
    <mergeCell ref="L137:L139"/>
    <mergeCell ref="A134:B136"/>
    <mergeCell ref="C134:C142"/>
    <mergeCell ref="D134:D142"/>
    <mergeCell ref="E134:E142"/>
    <mergeCell ref="I134:I136"/>
    <mergeCell ref="J134:J136"/>
    <mergeCell ref="A140:B142"/>
    <mergeCell ref="I140:I142"/>
    <mergeCell ref="J140:J142"/>
    <mergeCell ref="S144:S146"/>
    <mergeCell ref="T144:T146"/>
    <mergeCell ref="O145:O146"/>
    <mergeCell ref="A147:B149"/>
    <mergeCell ref="I147:I149"/>
    <mergeCell ref="J147:J149"/>
    <mergeCell ref="K147:K149"/>
    <mergeCell ref="L147:L149"/>
    <mergeCell ref="K140:K142"/>
    <mergeCell ref="L140:L142"/>
    <mergeCell ref="A144:B146"/>
    <mergeCell ref="C144:C152"/>
    <mergeCell ref="D144:D152"/>
    <mergeCell ref="E144:E152"/>
    <mergeCell ref="I144:I146"/>
    <mergeCell ref="J144:J146"/>
    <mergeCell ref="K144:K146"/>
    <mergeCell ref="L144:L146"/>
    <mergeCell ref="E157:H157"/>
    <mergeCell ref="A150:B152"/>
    <mergeCell ref="I150:I152"/>
    <mergeCell ref="J150:J152"/>
    <mergeCell ref="K150:K152"/>
    <mergeCell ref="L150:L152"/>
    <mergeCell ref="D155:H156"/>
    <mergeCell ref="J155:M155"/>
    <mergeCell ref="J156:M15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E202"/>
  <sheetViews>
    <sheetView showGridLines="0" view="pageBreakPreview" zoomScale="80" zoomScaleNormal="20" zoomScaleSheetLayoutView="80" workbookViewId="0">
      <selection activeCell="C3" sqref="C3:N4"/>
    </sheetView>
  </sheetViews>
  <sheetFormatPr baseColWidth="10" defaultColWidth="15.7109375" defaultRowHeight="15" x14ac:dyDescent="0.2"/>
  <cols>
    <col min="1" max="1" width="15.7109375" style="86"/>
    <col min="2" max="8" width="20.7109375" style="86" customWidth="1"/>
    <col min="9" max="9" width="24.28515625" style="86" customWidth="1"/>
    <col min="10" max="10" width="22.140625" style="86" customWidth="1"/>
    <col min="11" max="14" width="20.7109375" style="86" customWidth="1"/>
    <col min="15" max="16" width="20.7109375" style="88" customWidth="1"/>
    <col min="17" max="17" width="24.28515625" style="88" customWidth="1"/>
    <col min="18" max="26" width="20.7109375" style="88" customWidth="1"/>
    <col min="27" max="33" width="20.7109375" style="86" customWidth="1"/>
    <col min="34" max="34" width="19.85546875" style="86" bestFit="1" customWidth="1"/>
    <col min="35" max="38" width="15.85546875" style="86" bestFit="1" customWidth="1"/>
    <col min="39" max="43" width="16" style="86" customWidth="1"/>
    <col min="44" max="47" width="10.7109375" style="86" customWidth="1"/>
    <col min="48" max="48" width="16" style="86" bestFit="1" customWidth="1"/>
    <col min="49" max="49" width="15.85546875" style="86" bestFit="1" customWidth="1"/>
    <col min="50" max="50" width="20.7109375" style="86" bestFit="1" customWidth="1"/>
    <col min="51" max="51" width="15.85546875" style="86" bestFit="1" customWidth="1"/>
    <col min="52" max="52" width="15.7109375" style="86"/>
    <col min="53" max="53" width="20" style="86" customWidth="1"/>
    <col min="54" max="55" width="10.7109375" style="86" customWidth="1"/>
    <col min="56" max="16384" width="15.7109375" style="86"/>
  </cols>
  <sheetData>
    <row r="1" spans="2:83" ht="30" customHeight="1" x14ac:dyDescent="0.2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83" ht="30" customHeight="1" thickBo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83" ht="30" customHeight="1" x14ac:dyDescent="0.2">
      <c r="B3" s="87"/>
      <c r="C3" s="1014" t="s">
        <v>133</v>
      </c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6"/>
    </row>
    <row r="4" spans="2:83" ht="30" customHeight="1" thickBot="1" x14ac:dyDescent="0.25">
      <c r="B4" s="87"/>
      <c r="C4" s="1017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9"/>
    </row>
    <row r="5" spans="2:83" ht="30" customHeight="1" x14ac:dyDescent="0.2">
      <c r="B5" s="87"/>
      <c r="C5" s="1031" t="s">
        <v>134</v>
      </c>
      <c r="D5" s="990" t="s">
        <v>7</v>
      </c>
      <c r="E5" s="990" t="s">
        <v>135</v>
      </c>
      <c r="F5" s="990" t="s">
        <v>8</v>
      </c>
      <c r="G5" s="990" t="s">
        <v>75</v>
      </c>
      <c r="H5" s="990" t="s">
        <v>136</v>
      </c>
      <c r="I5" s="990" t="s">
        <v>81</v>
      </c>
      <c r="J5" s="990" t="s">
        <v>299</v>
      </c>
      <c r="K5" s="990" t="s">
        <v>383</v>
      </c>
      <c r="L5" s="1081"/>
      <c r="M5" s="1010" t="s">
        <v>351</v>
      </c>
      <c r="N5" s="1012" t="s">
        <v>352</v>
      </c>
    </row>
    <row r="6" spans="2:83" ht="30" customHeight="1" thickBot="1" x14ac:dyDescent="0.25">
      <c r="B6" s="87"/>
      <c r="C6" s="1032"/>
      <c r="D6" s="991"/>
      <c r="E6" s="991"/>
      <c r="F6" s="991"/>
      <c r="G6" s="991"/>
      <c r="H6" s="991"/>
      <c r="I6" s="991"/>
      <c r="J6" s="991"/>
      <c r="K6" s="991"/>
      <c r="L6" s="1082"/>
      <c r="M6" s="1011" t="s">
        <v>351</v>
      </c>
      <c r="N6" s="1013"/>
    </row>
    <row r="7" spans="2:83" ht="30" customHeight="1" x14ac:dyDescent="0.2">
      <c r="B7" s="87"/>
      <c r="C7" s="264"/>
      <c r="D7" s="265"/>
      <c r="E7" s="265"/>
      <c r="F7" s="265"/>
      <c r="G7" s="265"/>
      <c r="H7" s="265"/>
      <c r="I7" s="265"/>
      <c r="J7" s="265"/>
      <c r="K7" s="265"/>
      <c r="L7" s="266"/>
      <c r="M7" s="269"/>
      <c r="N7" s="266"/>
    </row>
    <row r="8" spans="2:83" s="103" customFormat="1" ht="60" customHeight="1" x14ac:dyDescent="0.2">
      <c r="B8" s="95"/>
      <c r="C8" s="694">
        <v>1</v>
      </c>
      <c r="D8" s="800"/>
      <c r="E8" s="801"/>
      <c r="F8" s="802"/>
      <c r="G8" s="802"/>
      <c r="H8" s="802"/>
      <c r="I8" s="801"/>
      <c r="J8" s="800"/>
      <c r="K8" s="800"/>
      <c r="L8" s="695"/>
      <c r="M8" s="696">
        <v>2</v>
      </c>
      <c r="N8" s="697">
        <v>0.95450000000000002</v>
      </c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CD8" s="86"/>
      <c r="CE8" s="86"/>
    </row>
    <row r="9" spans="2:83" s="103" customFormat="1" ht="30" customHeight="1" thickBot="1" x14ac:dyDescent="0.25">
      <c r="B9" s="95"/>
      <c r="C9" s="104"/>
      <c r="D9" s="105"/>
      <c r="E9" s="105"/>
      <c r="F9" s="105"/>
      <c r="G9" s="105"/>
      <c r="H9" s="105"/>
      <c r="I9" s="105"/>
      <c r="J9" s="105"/>
      <c r="K9" s="105"/>
      <c r="L9" s="263"/>
      <c r="M9" s="267"/>
      <c r="N9" s="268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CD9" s="86"/>
      <c r="CE9" s="86"/>
    </row>
    <row r="10" spans="2:83" s="103" customFormat="1" ht="30" customHeight="1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87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CD10" s="86"/>
      <c r="CE10" s="86"/>
    </row>
    <row r="11" spans="2:83" s="103" customFormat="1" ht="30" customHeight="1" thickBot="1" x14ac:dyDescent="0.2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87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CD11" s="86"/>
      <c r="CE11" s="86"/>
    </row>
    <row r="12" spans="2:83" s="103" customFormat="1" ht="30" customHeight="1" x14ac:dyDescent="0.2">
      <c r="B12" s="95"/>
      <c r="C12" s="1014" t="s">
        <v>255</v>
      </c>
      <c r="D12" s="1015"/>
      <c r="E12" s="1015"/>
      <c r="F12" s="1015"/>
      <c r="G12" s="1015"/>
      <c r="H12" s="1015"/>
      <c r="I12" s="1015"/>
      <c r="J12" s="1015"/>
      <c r="K12" s="1015"/>
      <c r="L12" s="1016"/>
      <c r="M12" s="87"/>
      <c r="N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CD12" s="86"/>
      <c r="CE12" s="86"/>
    </row>
    <row r="13" spans="2:83" ht="30" customHeight="1" thickBot="1" x14ac:dyDescent="0.25">
      <c r="B13" s="95"/>
      <c r="C13" s="1017"/>
      <c r="D13" s="1018"/>
      <c r="E13" s="1018"/>
      <c r="F13" s="1018"/>
      <c r="G13" s="1018"/>
      <c r="H13" s="1018"/>
      <c r="I13" s="1018"/>
      <c r="J13" s="1018"/>
      <c r="K13" s="1018"/>
      <c r="L13" s="1019"/>
      <c r="M13" s="87"/>
    </row>
    <row r="14" spans="2:83" ht="30" customHeight="1" x14ac:dyDescent="0.2">
      <c r="B14" s="95"/>
      <c r="C14" s="1033" t="s">
        <v>134</v>
      </c>
      <c r="D14" s="1034" t="s">
        <v>3</v>
      </c>
      <c r="E14" s="1034" t="s">
        <v>9</v>
      </c>
      <c r="F14" s="1034" t="s">
        <v>1</v>
      </c>
      <c r="G14" s="1035" t="s">
        <v>381</v>
      </c>
      <c r="H14" s="1035" t="s">
        <v>48</v>
      </c>
      <c r="I14" s="1034" t="s">
        <v>382</v>
      </c>
      <c r="J14" s="1034" t="s">
        <v>480</v>
      </c>
      <c r="K14" s="996" t="s">
        <v>299</v>
      </c>
      <c r="L14" s="1037" t="s">
        <v>383</v>
      </c>
      <c r="M14" s="87"/>
    </row>
    <row r="15" spans="2:83" ht="30" customHeight="1" thickBot="1" x14ac:dyDescent="0.25">
      <c r="B15" s="95"/>
      <c r="C15" s="983"/>
      <c r="D15" s="985"/>
      <c r="E15" s="985"/>
      <c r="F15" s="985"/>
      <c r="G15" s="1036"/>
      <c r="H15" s="1036"/>
      <c r="I15" s="985"/>
      <c r="J15" s="985"/>
      <c r="K15" s="991"/>
      <c r="L15" s="993"/>
      <c r="M15" s="87"/>
    </row>
    <row r="16" spans="2:83" ht="30" customHeight="1" x14ac:dyDescent="0.2">
      <c r="B16" s="95"/>
      <c r="C16" s="91"/>
      <c r="D16" s="92"/>
      <c r="E16" s="92"/>
      <c r="F16" s="92"/>
      <c r="G16" s="92"/>
      <c r="H16" s="92"/>
      <c r="I16" s="92"/>
      <c r="J16" s="92"/>
      <c r="K16" s="92"/>
      <c r="L16" s="93"/>
      <c r="M16" s="87"/>
    </row>
    <row r="17" spans="2:46" ht="30" customHeight="1" x14ac:dyDescent="0.2">
      <c r="B17" s="95"/>
      <c r="C17" s="694">
        <v>1</v>
      </c>
      <c r="D17" s="802"/>
      <c r="E17" s="802"/>
      <c r="F17" s="803"/>
      <c r="G17" s="802"/>
      <c r="H17" s="802"/>
      <c r="I17" s="802"/>
      <c r="J17" s="802"/>
      <c r="K17" s="802"/>
      <c r="L17" s="804"/>
      <c r="M17" s="87"/>
    </row>
    <row r="18" spans="2:46" ht="30" customHeight="1" thickBot="1" x14ac:dyDescent="0.25">
      <c r="B18" s="95"/>
      <c r="C18" s="108"/>
      <c r="D18" s="109"/>
      <c r="E18" s="109"/>
      <c r="F18" s="109"/>
      <c r="G18" s="110"/>
      <c r="H18" s="110"/>
      <c r="I18" s="109"/>
      <c r="J18" s="109"/>
      <c r="K18" s="110"/>
      <c r="L18" s="111"/>
      <c r="M18" s="87"/>
    </row>
    <row r="19" spans="2:46" ht="30" customHeight="1" x14ac:dyDescent="0.2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7"/>
    </row>
    <row r="20" spans="2:46" ht="30" customHeight="1" x14ac:dyDescent="0.2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87"/>
      <c r="AS20" s="95"/>
      <c r="AT20" s="87"/>
    </row>
    <row r="21" spans="2:46" ht="30" customHeight="1" x14ac:dyDescent="0.2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87"/>
      <c r="AS21" s="95"/>
      <c r="AT21" s="87"/>
    </row>
    <row r="22" spans="2:46" ht="30" customHeight="1" thickBot="1" x14ac:dyDescent="0.2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87"/>
      <c r="AS22" s="95"/>
      <c r="AT22" s="87"/>
    </row>
    <row r="23" spans="2:46" ht="30" customHeight="1" x14ac:dyDescent="0.2">
      <c r="B23" s="95"/>
      <c r="C23" s="1014" t="s">
        <v>262</v>
      </c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6"/>
      <c r="AS23" s="95"/>
      <c r="AT23" s="87"/>
    </row>
    <row r="24" spans="2:46" ht="30" customHeight="1" thickBot="1" x14ac:dyDescent="0.25">
      <c r="B24" s="95"/>
      <c r="C24" s="1017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9"/>
      <c r="AS24" s="95"/>
      <c r="AT24" s="87"/>
    </row>
    <row r="25" spans="2:46" ht="30" customHeight="1" x14ac:dyDescent="0.2">
      <c r="B25" s="95"/>
      <c r="C25" s="968" t="s">
        <v>139</v>
      </c>
      <c r="D25" s="960" t="s">
        <v>0</v>
      </c>
      <c r="E25" s="960" t="s">
        <v>3</v>
      </c>
      <c r="F25" s="960" t="s">
        <v>1</v>
      </c>
      <c r="G25" s="960" t="s">
        <v>140</v>
      </c>
      <c r="H25" s="960" t="s">
        <v>138</v>
      </c>
      <c r="I25" s="956" t="s">
        <v>81</v>
      </c>
      <c r="J25" s="956" t="s">
        <v>141</v>
      </c>
      <c r="K25" s="958" t="s">
        <v>263</v>
      </c>
      <c r="L25" s="958" t="s">
        <v>264</v>
      </c>
      <c r="M25" s="960" t="s">
        <v>142</v>
      </c>
      <c r="N25" s="958" t="s">
        <v>464</v>
      </c>
      <c r="O25" s="956" t="s">
        <v>143</v>
      </c>
      <c r="P25" s="956" t="s">
        <v>307</v>
      </c>
      <c r="Q25" s="970" t="s">
        <v>144</v>
      </c>
      <c r="R25" s="1023" t="s">
        <v>112</v>
      </c>
      <c r="AS25" s="95"/>
    </row>
    <row r="26" spans="2:46" ht="30" customHeight="1" thickBot="1" x14ac:dyDescent="0.25">
      <c r="B26" s="95"/>
      <c r="C26" s="969"/>
      <c r="D26" s="961"/>
      <c r="E26" s="961"/>
      <c r="F26" s="961"/>
      <c r="G26" s="961"/>
      <c r="H26" s="961"/>
      <c r="I26" s="957"/>
      <c r="J26" s="957"/>
      <c r="K26" s="959"/>
      <c r="L26" s="959"/>
      <c r="M26" s="961"/>
      <c r="N26" s="959"/>
      <c r="O26" s="957"/>
      <c r="P26" s="957"/>
      <c r="Q26" s="971"/>
      <c r="R26" s="1024"/>
      <c r="AS26" s="95"/>
    </row>
    <row r="27" spans="2:46" ht="30" customHeight="1" thickBot="1" x14ac:dyDescent="0.25">
      <c r="B27" s="95"/>
      <c r="C27" s="258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259"/>
      <c r="R27" s="260"/>
      <c r="AS27" s="95"/>
    </row>
    <row r="28" spans="2:46" ht="30" customHeight="1" x14ac:dyDescent="0.2">
      <c r="B28" s="1020" t="s">
        <v>432</v>
      </c>
      <c r="C28" s="319" t="s">
        <v>256</v>
      </c>
      <c r="D28" s="320" t="s">
        <v>261</v>
      </c>
      <c r="E28" s="320" t="s">
        <v>210</v>
      </c>
      <c r="F28" s="320" t="s">
        <v>211</v>
      </c>
      <c r="G28" s="320" t="s">
        <v>212</v>
      </c>
      <c r="H28" s="320" t="s">
        <v>360</v>
      </c>
      <c r="I28" s="321">
        <v>43244</v>
      </c>
      <c r="J28" s="322">
        <v>5</v>
      </c>
      <c r="K28" s="323">
        <v>1</v>
      </c>
      <c r="L28" s="324">
        <v>1</v>
      </c>
      <c r="M28" s="325">
        <v>7.0000000000000007E-2</v>
      </c>
      <c r="N28" s="326">
        <f>J28+(M28)/1000</f>
        <v>5.00007</v>
      </c>
      <c r="O28" s="327">
        <v>5.2999999999999999E-2</v>
      </c>
      <c r="P28" s="328">
        <f>(0.34848*((751.3+754.3)/2)-0.009024*((53.5+55.8)/2)*EXP(0.0612*((19.8+20.6)/2)))/(273.15+((19.8+20.6)/2))</f>
        <v>0.88848803069573967</v>
      </c>
      <c r="Q28" s="320" t="s">
        <v>268</v>
      </c>
      <c r="R28" s="329" t="s">
        <v>359</v>
      </c>
      <c r="AS28" s="95"/>
    </row>
    <row r="29" spans="2:46" ht="30" customHeight="1" x14ac:dyDescent="0.2">
      <c r="B29" s="1021"/>
      <c r="C29" s="330" t="s">
        <v>257</v>
      </c>
      <c r="D29" s="306" t="s">
        <v>261</v>
      </c>
      <c r="E29" s="306" t="s">
        <v>210</v>
      </c>
      <c r="F29" s="306" t="s">
        <v>211</v>
      </c>
      <c r="G29" s="306" t="s">
        <v>212</v>
      </c>
      <c r="H29" s="306" t="s">
        <v>360</v>
      </c>
      <c r="I29" s="331">
        <v>43244</v>
      </c>
      <c r="J29" s="332">
        <v>200</v>
      </c>
      <c r="K29" s="333">
        <v>2</v>
      </c>
      <c r="L29" s="334">
        <v>2</v>
      </c>
      <c r="M29" s="335">
        <v>0.1</v>
      </c>
      <c r="N29" s="336">
        <f t="shared" ref="N29:N32" si="0">J29+(M29)/1000</f>
        <v>200.0001</v>
      </c>
      <c r="O29" s="310">
        <v>0.33</v>
      </c>
      <c r="P29" s="309">
        <f t="shared" ref="P29:P32" si="1">(0.34848*((751.3+754.3)/2)-0.009024*((53.5+55.8)/2)*EXP(0.0612*((19.8+20.6)/2)))/(273.15+((19.8+20.6)/2))</f>
        <v>0.88848803069573967</v>
      </c>
      <c r="Q29" s="306" t="s">
        <v>268</v>
      </c>
      <c r="R29" s="337" t="s">
        <v>359</v>
      </c>
      <c r="AS29" s="95"/>
    </row>
    <row r="30" spans="2:46" ht="30" customHeight="1" x14ac:dyDescent="0.2">
      <c r="B30" s="1021"/>
      <c r="C30" s="330" t="s">
        <v>258</v>
      </c>
      <c r="D30" s="306" t="s">
        <v>261</v>
      </c>
      <c r="E30" s="306" t="s">
        <v>210</v>
      </c>
      <c r="F30" s="306" t="s">
        <v>211</v>
      </c>
      <c r="G30" s="306" t="s">
        <v>212</v>
      </c>
      <c r="H30" s="306" t="s">
        <v>360</v>
      </c>
      <c r="I30" s="331">
        <v>43244</v>
      </c>
      <c r="J30" s="332">
        <v>1000</v>
      </c>
      <c r="K30" s="333">
        <v>5</v>
      </c>
      <c r="L30" s="334">
        <v>5</v>
      </c>
      <c r="M30" s="335">
        <v>0.5</v>
      </c>
      <c r="N30" s="309">
        <f t="shared" si="0"/>
        <v>1000.0005</v>
      </c>
      <c r="O30" s="310">
        <v>1.6</v>
      </c>
      <c r="P30" s="309">
        <f t="shared" si="1"/>
        <v>0.88848803069573967</v>
      </c>
      <c r="Q30" s="306" t="s">
        <v>268</v>
      </c>
      <c r="R30" s="337" t="s">
        <v>359</v>
      </c>
      <c r="AS30" s="95"/>
    </row>
    <row r="31" spans="2:46" ht="30" customHeight="1" x14ac:dyDescent="0.2">
      <c r="B31" s="1021"/>
      <c r="C31" s="330" t="s">
        <v>259</v>
      </c>
      <c r="D31" s="306" t="s">
        <v>261</v>
      </c>
      <c r="E31" s="306" t="s">
        <v>210</v>
      </c>
      <c r="F31" s="306" t="s">
        <v>211</v>
      </c>
      <c r="G31" s="306" t="s">
        <v>212</v>
      </c>
      <c r="H31" s="306" t="s">
        <v>360</v>
      </c>
      <c r="I31" s="331">
        <v>43244</v>
      </c>
      <c r="J31" s="332">
        <v>2000</v>
      </c>
      <c r="K31" s="333">
        <v>10</v>
      </c>
      <c r="L31" s="334">
        <v>10</v>
      </c>
      <c r="M31" s="335">
        <v>3.6</v>
      </c>
      <c r="N31" s="309">
        <f t="shared" si="0"/>
        <v>2000.0036</v>
      </c>
      <c r="O31" s="310">
        <v>3</v>
      </c>
      <c r="P31" s="309">
        <f t="shared" si="1"/>
        <v>0.88848803069573967</v>
      </c>
      <c r="Q31" s="306" t="s">
        <v>268</v>
      </c>
      <c r="R31" s="337" t="s">
        <v>359</v>
      </c>
      <c r="AS31" s="95"/>
    </row>
    <row r="32" spans="2:46" ht="30" customHeight="1" thickBot="1" x14ac:dyDescent="0.25">
      <c r="B32" s="1022"/>
      <c r="C32" s="338" t="s">
        <v>260</v>
      </c>
      <c r="D32" s="317" t="s">
        <v>261</v>
      </c>
      <c r="E32" s="317" t="s">
        <v>210</v>
      </c>
      <c r="F32" s="317" t="s">
        <v>211</v>
      </c>
      <c r="G32" s="317" t="s">
        <v>212</v>
      </c>
      <c r="H32" s="317" t="s">
        <v>360</v>
      </c>
      <c r="I32" s="339">
        <v>43244</v>
      </c>
      <c r="J32" s="340">
        <v>5000</v>
      </c>
      <c r="K32" s="341">
        <v>20</v>
      </c>
      <c r="L32" s="342">
        <v>20</v>
      </c>
      <c r="M32" s="343">
        <v>3.7</v>
      </c>
      <c r="N32" s="318">
        <f t="shared" si="0"/>
        <v>5000.0037000000002</v>
      </c>
      <c r="O32" s="344">
        <v>8</v>
      </c>
      <c r="P32" s="318">
        <f t="shared" si="1"/>
        <v>0.88848803069573967</v>
      </c>
      <c r="Q32" s="317" t="s">
        <v>268</v>
      </c>
      <c r="R32" s="345" t="s">
        <v>359</v>
      </c>
      <c r="AS32" s="95"/>
    </row>
    <row r="33" spans="2:45" ht="30" customHeight="1" x14ac:dyDescent="0.2">
      <c r="B33" s="138"/>
      <c r="C33" s="346"/>
      <c r="D33" s="347"/>
      <c r="E33" s="347"/>
      <c r="F33" s="347"/>
      <c r="G33" s="347"/>
      <c r="H33" s="347"/>
      <c r="I33" s="348"/>
      <c r="J33" s="349"/>
      <c r="K33" s="350">
        <v>50</v>
      </c>
      <c r="L33" s="351">
        <v>50</v>
      </c>
      <c r="M33" s="352"/>
      <c r="N33" s="353"/>
      <c r="O33" s="347"/>
      <c r="P33" s="347"/>
      <c r="Q33" s="347"/>
      <c r="R33" s="354"/>
      <c r="AS33" s="95"/>
    </row>
    <row r="34" spans="2:45" ht="30" customHeight="1" x14ac:dyDescent="0.2">
      <c r="B34" s="138"/>
      <c r="C34" s="330"/>
      <c r="D34" s="306"/>
      <c r="E34" s="306"/>
      <c r="F34" s="306"/>
      <c r="G34" s="306"/>
      <c r="H34" s="306"/>
      <c r="I34" s="331"/>
      <c r="J34" s="332"/>
      <c r="K34" s="333">
        <v>100</v>
      </c>
      <c r="L34" s="334">
        <v>100</v>
      </c>
      <c r="M34" s="335"/>
      <c r="N34" s="309"/>
      <c r="O34" s="306"/>
      <c r="P34" s="306"/>
      <c r="Q34" s="306"/>
      <c r="R34" s="337"/>
      <c r="AS34" s="95"/>
    </row>
    <row r="35" spans="2:45" ht="30" customHeight="1" x14ac:dyDescent="0.2">
      <c r="B35" s="138"/>
      <c r="C35" s="330"/>
      <c r="D35" s="306"/>
      <c r="E35" s="306"/>
      <c r="F35" s="306"/>
      <c r="G35" s="306"/>
      <c r="H35" s="306"/>
      <c r="I35" s="331"/>
      <c r="J35" s="332"/>
      <c r="K35" s="333">
        <v>200</v>
      </c>
      <c r="L35" s="334">
        <v>200</v>
      </c>
      <c r="M35" s="335"/>
      <c r="N35" s="309"/>
      <c r="O35" s="306"/>
      <c r="P35" s="306"/>
      <c r="Q35" s="306"/>
      <c r="R35" s="337"/>
      <c r="AS35" s="95"/>
    </row>
    <row r="36" spans="2:45" ht="30" customHeight="1" x14ac:dyDescent="0.2">
      <c r="B36" s="138"/>
      <c r="C36" s="330"/>
      <c r="D36" s="306"/>
      <c r="E36" s="306"/>
      <c r="F36" s="306"/>
      <c r="G36" s="306"/>
      <c r="H36" s="306"/>
      <c r="I36" s="331"/>
      <c r="J36" s="332"/>
      <c r="K36" s="333">
        <v>500</v>
      </c>
      <c r="L36" s="334">
        <v>500</v>
      </c>
      <c r="M36" s="335"/>
      <c r="N36" s="309"/>
      <c r="O36" s="306"/>
      <c r="P36" s="306"/>
      <c r="Q36" s="306"/>
      <c r="R36" s="337"/>
      <c r="AS36" s="95"/>
    </row>
    <row r="37" spans="2:45" ht="30" customHeight="1" thickBot="1" x14ac:dyDescent="0.25">
      <c r="B37" s="95"/>
      <c r="C37" s="355"/>
      <c r="D37" s="356"/>
      <c r="E37" s="356"/>
      <c r="F37" s="356"/>
      <c r="G37" s="356"/>
      <c r="H37" s="356"/>
      <c r="I37" s="357"/>
      <c r="J37" s="358"/>
      <c r="K37" s="575">
        <v>1000</v>
      </c>
      <c r="L37" s="576">
        <v>1000</v>
      </c>
      <c r="M37" s="359"/>
      <c r="N37" s="356"/>
      <c r="O37" s="356"/>
      <c r="P37" s="360"/>
      <c r="Q37" s="356"/>
      <c r="R37" s="361"/>
      <c r="AS37" s="95"/>
    </row>
    <row r="38" spans="2:45" ht="30" customHeight="1" x14ac:dyDescent="0.2">
      <c r="B38" s="1030"/>
      <c r="C38" s="319" t="s">
        <v>145</v>
      </c>
      <c r="D38" s="320" t="s">
        <v>146</v>
      </c>
      <c r="E38" s="320" t="s">
        <v>131</v>
      </c>
      <c r="F38" s="320">
        <v>27129360</v>
      </c>
      <c r="G38" s="320" t="s">
        <v>147</v>
      </c>
      <c r="H38" s="320" t="s">
        <v>361</v>
      </c>
      <c r="I38" s="321">
        <v>43228</v>
      </c>
      <c r="J38" s="322">
        <v>1</v>
      </c>
      <c r="K38" s="323">
        <v>2000</v>
      </c>
      <c r="L38" s="324">
        <v>2000</v>
      </c>
      <c r="M38" s="362">
        <v>8.9999999999999993E-3</v>
      </c>
      <c r="N38" s="326">
        <f>J38+(M38)/1000</f>
        <v>1.0000089999999999</v>
      </c>
      <c r="O38" s="363">
        <v>0.01</v>
      </c>
      <c r="P38" s="328">
        <f>(0.34848*((751.2+755.4)/2)-0.009024*((48.4+57.9)/2)*EXP(0.0612*((19.5+20.7)/2)))/(273.15+((19.5+20.7)/2))</f>
        <v>0.88957844095478944</v>
      </c>
      <c r="Q38" s="320" t="s">
        <v>148</v>
      </c>
      <c r="R38" s="329" t="s">
        <v>275</v>
      </c>
      <c r="AS38" s="95"/>
    </row>
    <row r="39" spans="2:45" ht="30" customHeight="1" x14ac:dyDescent="0.2">
      <c r="B39" s="1028"/>
      <c r="C39" s="330" t="s">
        <v>149</v>
      </c>
      <c r="D39" s="306" t="s">
        <v>146</v>
      </c>
      <c r="E39" s="306" t="s">
        <v>131</v>
      </c>
      <c r="F39" s="306">
        <v>27129360</v>
      </c>
      <c r="G39" s="306" t="s">
        <v>150</v>
      </c>
      <c r="H39" s="306" t="s">
        <v>361</v>
      </c>
      <c r="I39" s="331">
        <v>43228</v>
      </c>
      <c r="J39" s="332">
        <v>2</v>
      </c>
      <c r="K39" s="333">
        <v>5000</v>
      </c>
      <c r="L39" s="334">
        <v>5000</v>
      </c>
      <c r="M39" s="364">
        <v>0.01</v>
      </c>
      <c r="N39" s="365">
        <f t="shared" ref="N39:N88" si="2">J39+(M39)/1000</f>
        <v>2.0000100000000001</v>
      </c>
      <c r="O39" s="306">
        <v>1.2E-2</v>
      </c>
      <c r="P39" s="309">
        <f>(0.34848*((751.2+755.4)/2)-0.009024*((48.4+57.9)/2)*EXP(0.0612*((19.5+20.7)/2)))/(273.15+((19.5+20.7)/2))</f>
        <v>0.88957844095478944</v>
      </c>
      <c r="Q39" s="306" t="str">
        <f t="shared" ref="Q39:Q54" si="3">Q38</f>
        <v>M-001</v>
      </c>
      <c r="R39" s="337" t="s">
        <v>275</v>
      </c>
      <c r="AS39" s="95"/>
    </row>
    <row r="40" spans="2:45" ht="30" customHeight="1" x14ac:dyDescent="0.2">
      <c r="B40" s="1028"/>
      <c r="C40" s="330" t="s">
        <v>426</v>
      </c>
      <c r="D40" s="306" t="s">
        <v>146</v>
      </c>
      <c r="E40" s="306" t="s">
        <v>131</v>
      </c>
      <c r="F40" s="306">
        <v>27129360</v>
      </c>
      <c r="G40" s="306" t="s">
        <v>152</v>
      </c>
      <c r="H40" s="306" t="s">
        <v>361</v>
      </c>
      <c r="I40" s="331">
        <v>43228</v>
      </c>
      <c r="J40" s="332">
        <v>2</v>
      </c>
      <c r="K40" s="333">
        <v>10000</v>
      </c>
      <c r="L40" s="334">
        <v>8000</v>
      </c>
      <c r="M40" s="335">
        <v>1.7000000000000001E-2</v>
      </c>
      <c r="N40" s="365">
        <f t="shared" si="2"/>
        <v>2.0000170000000002</v>
      </c>
      <c r="O40" s="306">
        <v>1.2E-2</v>
      </c>
      <c r="P40" s="309">
        <f>(0.34848*((751.2+755.4)/2)-0.009024*((48.4+57.9)/2)*EXP(0.0612*((19.5+20.7)/2)))/(273.15+((19.5+20.7)/2))</f>
        <v>0.88957844095478944</v>
      </c>
      <c r="Q40" s="306" t="str">
        <f t="shared" si="3"/>
        <v>M-001</v>
      </c>
      <c r="R40" s="337" t="s">
        <v>275</v>
      </c>
      <c r="AS40" s="95"/>
    </row>
    <row r="41" spans="2:45" ht="30" customHeight="1" x14ac:dyDescent="0.2">
      <c r="B41" s="1028"/>
      <c r="C41" s="330" t="s">
        <v>153</v>
      </c>
      <c r="D41" s="306" t="s">
        <v>146</v>
      </c>
      <c r="E41" s="306" t="s">
        <v>131</v>
      </c>
      <c r="F41" s="306">
        <v>27129360</v>
      </c>
      <c r="G41" s="306" t="s">
        <v>154</v>
      </c>
      <c r="H41" s="306" t="s">
        <v>361</v>
      </c>
      <c r="I41" s="331">
        <v>43228</v>
      </c>
      <c r="J41" s="332">
        <v>5</v>
      </c>
      <c r="K41" s="333">
        <v>15000</v>
      </c>
      <c r="L41" s="334">
        <v>8200</v>
      </c>
      <c r="M41" s="364">
        <v>2E-3</v>
      </c>
      <c r="N41" s="365">
        <f t="shared" si="2"/>
        <v>5.0000020000000003</v>
      </c>
      <c r="O41" s="306">
        <v>1.6E-2</v>
      </c>
      <c r="P41" s="309">
        <f>(0.34848*((751.2+755.4)/2)-0.009024*((48.4+57.9)/2)*EXP(0.0612*((19.5+20.7)/2)))/(273.15+((19.5+20.7)/2))</f>
        <v>0.88957844095478944</v>
      </c>
      <c r="Q41" s="306" t="str">
        <f t="shared" si="3"/>
        <v>M-001</v>
      </c>
      <c r="R41" s="337" t="s">
        <v>275</v>
      </c>
      <c r="AS41" s="95"/>
    </row>
    <row r="42" spans="2:45" ht="30" customHeight="1" x14ac:dyDescent="0.2">
      <c r="B42" s="1028"/>
      <c r="C42" s="330" t="s">
        <v>155</v>
      </c>
      <c r="D42" s="306" t="s">
        <v>146</v>
      </c>
      <c r="E42" s="306" t="s">
        <v>131</v>
      </c>
      <c r="F42" s="306">
        <v>27129360</v>
      </c>
      <c r="G42" s="306" t="s">
        <v>156</v>
      </c>
      <c r="H42" s="306" t="s">
        <v>361</v>
      </c>
      <c r="I42" s="331">
        <v>43228</v>
      </c>
      <c r="J42" s="332">
        <v>10</v>
      </c>
      <c r="K42" s="333">
        <v>20000</v>
      </c>
      <c r="L42" s="334">
        <v>10000</v>
      </c>
      <c r="M42" s="335">
        <v>1.9E-2</v>
      </c>
      <c r="N42" s="365">
        <f t="shared" si="2"/>
        <v>10.000019</v>
      </c>
      <c r="O42" s="366">
        <v>0.02</v>
      </c>
      <c r="P42" s="309">
        <f t="shared" ref="P42:P54" si="4">(0.34848*((751.2+755.4)/2)-0.009024*((48.4+57.9)/2)*EXP(0.0612*((19.5+20.7)/2)))/(273.15+((19.5+20.7)/2))</f>
        <v>0.88957844095478944</v>
      </c>
      <c r="Q42" s="306" t="str">
        <f t="shared" si="3"/>
        <v>M-001</v>
      </c>
      <c r="R42" s="337" t="s">
        <v>275</v>
      </c>
      <c r="AS42" s="95"/>
    </row>
    <row r="43" spans="2:45" ht="30" customHeight="1" x14ac:dyDescent="0.2">
      <c r="B43" s="1028"/>
      <c r="C43" s="330" t="s">
        <v>157</v>
      </c>
      <c r="D43" s="306" t="s">
        <v>146</v>
      </c>
      <c r="E43" s="306" t="s">
        <v>131</v>
      </c>
      <c r="F43" s="306">
        <v>27129360</v>
      </c>
      <c r="G43" s="306" t="s">
        <v>158</v>
      </c>
      <c r="H43" s="306" t="s">
        <v>361</v>
      </c>
      <c r="I43" s="331">
        <v>43228</v>
      </c>
      <c r="J43" s="332">
        <v>20</v>
      </c>
      <c r="K43" s="333">
        <v>25000</v>
      </c>
      <c r="L43" s="334">
        <v>15000</v>
      </c>
      <c r="M43" s="335">
        <v>2.5999999999999999E-2</v>
      </c>
      <c r="N43" s="365">
        <f t="shared" si="2"/>
        <v>20.000025999999998</v>
      </c>
      <c r="O43" s="306">
        <v>2.5000000000000001E-2</v>
      </c>
      <c r="P43" s="309">
        <f t="shared" si="4"/>
        <v>0.88957844095478944</v>
      </c>
      <c r="Q43" s="306" t="str">
        <f t="shared" si="3"/>
        <v>M-001</v>
      </c>
      <c r="R43" s="337" t="s">
        <v>275</v>
      </c>
      <c r="AS43" s="95"/>
    </row>
    <row r="44" spans="2:45" ht="30" customHeight="1" x14ac:dyDescent="0.2">
      <c r="B44" s="1028"/>
      <c r="C44" s="330" t="s">
        <v>427</v>
      </c>
      <c r="D44" s="306" t="s">
        <v>146</v>
      </c>
      <c r="E44" s="306" t="s">
        <v>131</v>
      </c>
      <c r="F44" s="306">
        <v>27129360</v>
      </c>
      <c r="G44" s="306" t="s">
        <v>160</v>
      </c>
      <c r="H44" s="306" t="s">
        <v>361</v>
      </c>
      <c r="I44" s="331">
        <v>43228</v>
      </c>
      <c r="J44" s="332">
        <v>20</v>
      </c>
      <c r="K44" s="333">
        <v>30000</v>
      </c>
      <c r="L44" s="334">
        <v>20000</v>
      </c>
      <c r="M44" s="335">
        <v>7.0000000000000001E-3</v>
      </c>
      <c r="N44" s="365">
        <f t="shared" si="2"/>
        <v>20.000007</v>
      </c>
      <c r="O44" s="306">
        <v>2.5000000000000001E-2</v>
      </c>
      <c r="P44" s="309">
        <f t="shared" si="4"/>
        <v>0.88957844095478944</v>
      </c>
      <c r="Q44" s="306" t="str">
        <f t="shared" si="3"/>
        <v>M-001</v>
      </c>
      <c r="R44" s="337" t="s">
        <v>275</v>
      </c>
      <c r="AS44" s="95"/>
    </row>
    <row r="45" spans="2:45" ht="30" customHeight="1" x14ac:dyDescent="0.2">
      <c r="B45" s="1028"/>
      <c r="C45" s="330" t="s">
        <v>161</v>
      </c>
      <c r="D45" s="306" t="s">
        <v>146</v>
      </c>
      <c r="E45" s="306" t="s">
        <v>131</v>
      </c>
      <c r="F45" s="306">
        <v>27129360</v>
      </c>
      <c r="G45" s="306" t="s">
        <v>162</v>
      </c>
      <c r="H45" s="306" t="s">
        <v>361</v>
      </c>
      <c r="I45" s="331">
        <v>43228</v>
      </c>
      <c r="J45" s="332">
        <v>50</v>
      </c>
      <c r="K45" s="333">
        <v>35000</v>
      </c>
      <c r="L45" s="334">
        <v>25000</v>
      </c>
      <c r="M45" s="335">
        <v>0.03</v>
      </c>
      <c r="N45" s="336">
        <f t="shared" si="2"/>
        <v>50.000030000000002</v>
      </c>
      <c r="O45" s="306">
        <v>0.03</v>
      </c>
      <c r="P45" s="309">
        <f t="shared" si="4"/>
        <v>0.88957844095478944</v>
      </c>
      <c r="Q45" s="306" t="str">
        <f t="shared" si="3"/>
        <v>M-001</v>
      </c>
      <c r="R45" s="337" t="s">
        <v>275</v>
      </c>
      <c r="AS45" s="95"/>
    </row>
    <row r="46" spans="2:45" ht="30" customHeight="1" x14ac:dyDescent="0.2">
      <c r="B46" s="1028"/>
      <c r="C46" s="330" t="s">
        <v>163</v>
      </c>
      <c r="D46" s="306" t="s">
        <v>146</v>
      </c>
      <c r="E46" s="306" t="s">
        <v>131</v>
      </c>
      <c r="F46" s="306">
        <v>27129360</v>
      </c>
      <c r="G46" s="306" t="s">
        <v>164</v>
      </c>
      <c r="H46" s="306" t="s">
        <v>361</v>
      </c>
      <c r="I46" s="331">
        <v>43228</v>
      </c>
      <c r="J46" s="332">
        <v>100</v>
      </c>
      <c r="K46" s="333">
        <v>40000</v>
      </c>
      <c r="L46" s="368">
        <v>35000</v>
      </c>
      <c r="M46" s="335">
        <v>0.06</v>
      </c>
      <c r="N46" s="336">
        <f t="shared" si="2"/>
        <v>100.00006</v>
      </c>
      <c r="O46" s="306">
        <v>0.05</v>
      </c>
      <c r="P46" s="309">
        <f t="shared" si="4"/>
        <v>0.88957844095478944</v>
      </c>
      <c r="Q46" s="306" t="str">
        <f t="shared" si="3"/>
        <v>M-001</v>
      </c>
      <c r="R46" s="337" t="s">
        <v>275</v>
      </c>
      <c r="AS46" s="95"/>
    </row>
    <row r="47" spans="2:45" ht="30" customHeight="1" x14ac:dyDescent="0.2">
      <c r="B47" s="1028"/>
      <c r="C47" s="330" t="s">
        <v>165</v>
      </c>
      <c r="D47" s="306" t="s">
        <v>146</v>
      </c>
      <c r="E47" s="306" t="s">
        <v>131</v>
      </c>
      <c r="F47" s="306">
        <v>27129360</v>
      </c>
      <c r="G47" s="306" t="s">
        <v>166</v>
      </c>
      <c r="H47" s="306" t="s">
        <v>361</v>
      </c>
      <c r="I47" s="331">
        <v>43228</v>
      </c>
      <c r="J47" s="332">
        <v>200</v>
      </c>
      <c r="K47" s="367"/>
      <c r="L47" s="368">
        <v>40000</v>
      </c>
      <c r="M47" s="335">
        <v>-7.0000000000000007E-2</v>
      </c>
      <c r="N47" s="336">
        <f t="shared" si="2"/>
        <v>199.99993000000001</v>
      </c>
      <c r="O47" s="311">
        <v>0.1</v>
      </c>
      <c r="P47" s="309">
        <f t="shared" si="4"/>
        <v>0.88957844095478944</v>
      </c>
      <c r="Q47" s="306" t="str">
        <f t="shared" si="3"/>
        <v>M-001</v>
      </c>
      <c r="R47" s="337" t="s">
        <v>275</v>
      </c>
      <c r="AS47" s="95"/>
    </row>
    <row r="48" spans="2:45" ht="30" customHeight="1" x14ac:dyDescent="0.2">
      <c r="B48" s="1028"/>
      <c r="C48" s="330" t="s">
        <v>428</v>
      </c>
      <c r="D48" s="306" t="s">
        <v>146</v>
      </c>
      <c r="E48" s="306" t="s">
        <v>131</v>
      </c>
      <c r="F48" s="306">
        <v>27129360</v>
      </c>
      <c r="G48" s="306" t="s">
        <v>168</v>
      </c>
      <c r="H48" s="306" t="s">
        <v>361</v>
      </c>
      <c r="I48" s="331">
        <v>43228</v>
      </c>
      <c r="J48" s="332">
        <v>200</v>
      </c>
      <c r="K48" s="367"/>
      <c r="L48" s="368">
        <v>45000</v>
      </c>
      <c r="M48" s="335">
        <v>0.15</v>
      </c>
      <c r="N48" s="336">
        <f t="shared" si="2"/>
        <v>200.00014999999999</v>
      </c>
      <c r="O48" s="311">
        <v>0.1</v>
      </c>
      <c r="P48" s="309">
        <f t="shared" si="4"/>
        <v>0.88957844095478944</v>
      </c>
      <c r="Q48" s="306" t="str">
        <f t="shared" si="3"/>
        <v>M-001</v>
      </c>
      <c r="R48" s="337" t="s">
        <v>275</v>
      </c>
      <c r="AS48" s="95"/>
    </row>
    <row r="49" spans="2:48" ht="30" customHeight="1" x14ac:dyDescent="0.2">
      <c r="B49" s="1028"/>
      <c r="C49" s="330" t="s">
        <v>169</v>
      </c>
      <c r="D49" s="306" t="s">
        <v>146</v>
      </c>
      <c r="E49" s="306" t="s">
        <v>131</v>
      </c>
      <c r="F49" s="306">
        <v>27129360</v>
      </c>
      <c r="G49" s="306" t="s">
        <v>170</v>
      </c>
      <c r="H49" s="306" t="s">
        <v>361</v>
      </c>
      <c r="I49" s="331">
        <v>43228</v>
      </c>
      <c r="J49" s="332">
        <v>500</v>
      </c>
      <c r="K49" s="367"/>
      <c r="L49" s="368">
        <v>50000</v>
      </c>
      <c r="M49" s="335">
        <v>0.33</v>
      </c>
      <c r="N49" s="336">
        <f t="shared" si="2"/>
        <v>500.00033000000002</v>
      </c>
      <c r="O49" s="306">
        <v>0.25</v>
      </c>
      <c r="P49" s="309">
        <f t="shared" si="4"/>
        <v>0.88957844095478944</v>
      </c>
      <c r="Q49" s="306" t="str">
        <f t="shared" si="3"/>
        <v>M-001</v>
      </c>
      <c r="R49" s="337" t="s">
        <v>275</v>
      </c>
      <c r="AS49" s="95"/>
    </row>
    <row r="50" spans="2:48" ht="30" customHeight="1" x14ac:dyDescent="0.2">
      <c r="B50" s="1028"/>
      <c r="C50" s="330" t="s">
        <v>171</v>
      </c>
      <c r="D50" s="306" t="s">
        <v>146</v>
      </c>
      <c r="E50" s="306" t="s">
        <v>131</v>
      </c>
      <c r="F50" s="306">
        <v>27129360</v>
      </c>
      <c r="G50" s="306" t="s">
        <v>172</v>
      </c>
      <c r="H50" s="306" t="s">
        <v>361</v>
      </c>
      <c r="I50" s="331">
        <v>43228</v>
      </c>
      <c r="J50" s="332">
        <v>1000</v>
      </c>
      <c r="K50" s="367"/>
      <c r="L50" s="368">
        <v>55000</v>
      </c>
      <c r="M50" s="335">
        <v>0.7</v>
      </c>
      <c r="N50" s="309">
        <f t="shared" si="2"/>
        <v>1000.0007000000001</v>
      </c>
      <c r="O50" s="306">
        <v>0.5</v>
      </c>
      <c r="P50" s="309">
        <f t="shared" si="4"/>
        <v>0.88957844095478944</v>
      </c>
      <c r="Q50" s="306" t="str">
        <f t="shared" si="3"/>
        <v>M-001</v>
      </c>
      <c r="R50" s="337" t="s">
        <v>275</v>
      </c>
      <c r="AS50" s="95"/>
    </row>
    <row r="51" spans="2:48" ht="30" customHeight="1" x14ac:dyDescent="0.2">
      <c r="B51" s="1028"/>
      <c r="C51" s="330" t="s">
        <v>173</v>
      </c>
      <c r="D51" s="306" t="s">
        <v>146</v>
      </c>
      <c r="E51" s="306" t="s">
        <v>131</v>
      </c>
      <c r="F51" s="306">
        <v>27129360</v>
      </c>
      <c r="G51" s="306" t="s">
        <v>174</v>
      </c>
      <c r="H51" s="306" t="s">
        <v>361</v>
      </c>
      <c r="I51" s="331">
        <v>43228</v>
      </c>
      <c r="J51" s="332">
        <v>2000</v>
      </c>
      <c r="K51" s="367"/>
      <c r="L51" s="368"/>
      <c r="M51" s="335">
        <v>1.1000000000000001</v>
      </c>
      <c r="N51" s="309">
        <f t="shared" si="2"/>
        <v>2000.0011</v>
      </c>
      <c r="O51" s="310">
        <v>1</v>
      </c>
      <c r="P51" s="309">
        <f t="shared" si="4"/>
        <v>0.88957844095478944</v>
      </c>
      <c r="Q51" s="306" t="str">
        <f t="shared" si="3"/>
        <v>M-001</v>
      </c>
      <c r="R51" s="337" t="s">
        <v>275</v>
      </c>
      <c r="AS51" s="95"/>
    </row>
    <row r="52" spans="2:48" ht="30" customHeight="1" x14ac:dyDescent="0.2">
      <c r="B52" s="1028"/>
      <c r="C52" s="330" t="s">
        <v>429</v>
      </c>
      <c r="D52" s="306" t="s">
        <v>146</v>
      </c>
      <c r="E52" s="306" t="s">
        <v>131</v>
      </c>
      <c r="F52" s="306">
        <v>27129360</v>
      </c>
      <c r="G52" s="306" t="s">
        <v>176</v>
      </c>
      <c r="H52" s="306" t="s">
        <v>361</v>
      </c>
      <c r="I52" s="331">
        <v>43228</v>
      </c>
      <c r="J52" s="332">
        <v>2000</v>
      </c>
      <c r="K52" s="369"/>
      <c r="L52" s="368"/>
      <c r="M52" s="370">
        <v>1</v>
      </c>
      <c r="N52" s="309">
        <f t="shared" si="2"/>
        <v>2000.001</v>
      </c>
      <c r="O52" s="310">
        <v>1</v>
      </c>
      <c r="P52" s="309">
        <f t="shared" si="4"/>
        <v>0.88957844095478944</v>
      </c>
      <c r="Q52" s="306" t="str">
        <f t="shared" si="3"/>
        <v>M-001</v>
      </c>
      <c r="R52" s="337" t="s">
        <v>275</v>
      </c>
      <c r="AS52" s="95"/>
    </row>
    <row r="53" spans="2:48" ht="30" customHeight="1" x14ac:dyDescent="0.2">
      <c r="B53" s="1028"/>
      <c r="C53" s="330" t="s">
        <v>177</v>
      </c>
      <c r="D53" s="306" t="s">
        <v>146</v>
      </c>
      <c r="E53" s="306" t="s">
        <v>131</v>
      </c>
      <c r="F53" s="306">
        <v>27129360</v>
      </c>
      <c r="G53" s="306" t="s">
        <v>178</v>
      </c>
      <c r="H53" s="306" t="s">
        <v>361</v>
      </c>
      <c r="I53" s="331">
        <v>43228</v>
      </c>
      <c r="J53" s="332">
        <v>5000</v>
      </c>
      <c r="K53" s="369"/>
      <c r="L53" s="371"/>
      <c r="M53" s="335">
        <v>3.5</v>
      </c>
      <c r="N53" s="309">
        <f t="shared" si="2"/>
        <v>5000.0034999999998</v>
      </c>
      <c r="O53" s="306">
        <v>2.5</v>
      </c>
      <c r="P53" s="309">
        <f t="shared" si="4"/>
        <v>0.88957844095478944</v>
      </c>
      <c r="Q53" s="306" t="str">
        <f t="shared" si="3"/>
        <v>M-001</v>
      </c>
      <c r="R53" s="337" t="s">
        <v>275</v>
      </c>
      <c r="AS53" s="95"/>
    </row>
    <row r="54" spans="2:48" ht="30" customHeight="1" thickBot="1" x14ac:dyDescent="0.25">
      <c r="B54" s="1029"/>
      <c r="C54" s="338" t="s">
        <v>179</v>
      </c>
      <c r="D54" s="317" t="s">
        <v>146</v>
      </c>
      <c r="E54" s="317" t="s">
        <v>131</v>
      </c>
      <c r="F54" s="317">
        <v>27129360</v>
      </c>
      <c r="G54" s="317" t="s">
        <v>180</v>
      </c>
      <c r="H54" s="317" t="s">
        <v>361</v>
      </c>
      <c r="I54" s="339">
        <v>43228</v>
      </c>
      <c r="J54" s="340">
        <v>10000</v>
      </c>
      <c r="K54" s="372"/>
      <c r="L54" s="373"/>
      <c r="M54" s="343">
        <v>8.1999999999999993</v>
      </c>
      <c r="N54" s="318">
        <f t="shared" si="2"/>
        <v>10000.0082</v>
      </c>
      <c r="O54" s="344">
        <v>5</v>
      </c>
      <c r="P54" s="318">
        <f t="shared" si="4"/>
        <v>0.88957844095478944</v>
      </c>
      <c r="Q54" s="317" t="str">
        <f t="shared" si="3"/>
        <v>M-001</v>
      </c>
      <c r="R54" s="345" t="s">
        <v>275</v>
      </c>
      <c r="AS54" s="95"/>
    </row>
    <row r="55" spans="2:48" ht="30" customHeight="1" x14ac:dyDescent="0.2">
      <c r="B55" s="1028"/>
      <c r="C55" s="319" t="s">
        <v>181</v>
      </c>
      <c r="D55" s="320" t="s">
        <v>182</v>
      </c>
      <c r="E55" s="320" t="s">
        <v>280</v>
      </c>
      <c r="F55" s="320">
        <v>11119515</v>
      </c>
      <c r="G55" s="320">
        <v>1</v>
      </c>
      <c r="H55" s="320" t="s">
        <v>388</v>
      </c>
      <c r="I55" s="321">
        <v>43252</v>
      </c>
      <c r="J55" s="322">
        <v>1</v>
      </c>
      <c r="K55" s="374"/>
      <c r="L55" s="375"/>
      <c r="M55" s="362">
        <v>0.04</v>
      </c>
      <c r="N55" s="376">
        <f t="shared" si="2"/>
        <v>1.00004</v>
      </c>
      <c r="O55" s="320">
        <v>0.03</v>
      </c>
      <c r="P55" s="328">
        <f>(0.34848*((750.7+754.5)/2)-0.009024*((52.2+58.7)/2)*EXP(0.0612*((20+20.6)/2)))/(273.15+((20+20.6)/2))</f>
        <v>0.88782702273489045</v>
      </c>
      <c r="Q55" s="320" t="s">
        <v>183</v>
      </c>
      <c r="R55" s="329" t="s">
        <v>275</v>
      </c>
      <c r="AS55" s="95"/>
      <c r="AT55" s="87"/>
      <c r="AU55" s="87"/>
    </row>
    <row r="56" spans="2:48" ht="30" customHeight="1" x14ac:dyDescent="0.2">
      <c r="B56" s="1028"/>
      <c r="C56" s="330" t="s">
        <v>184</v>
      </c>
      <c r="D56" s="306" t="s">
        <v>182</v>
      </c>
      <c r="E56" s="306" t="s">
        <v>280</v>
      </c>
      <c r="F56" s="306">
        <v>11119515</v>
      </c>
      <c r="G56" s="306" t="s">
        <v>186</v>
      </c>
      <c r="H56" s="306" t="s">
        <v>388</v>
      </c>
      <c r="I56" s="331">
        <v>43252</v>
      </c>
      <c r="J56" s="332">
        <v>2</v>
      </c>
      <c r="K56" s="369"/>
      <c r="L56" s="371"/>
      <c r="M56" s="335">
        <v>0.04</v>
      </c>
      <c r="N56" s="336">
        <f t="shared" si="2"/>
        <v>2.0000399999999998</v>
      </c>
      <c r="O56" s="306">
        <v>0.04</v>
      </c>
      <c r="P56" s="309">
        <f>(0.34848*((750.7+754.5)/2)-0.009024*((52.2+58.7)/2)*EXP(0.0612*((20+20.6)/2)))/(273.15+((20+20.6)/2))</f>
        <v>0.88782702273489045</v>
      </c>
      <c r="Q56" s="306" t="str">
        <f t="shared" ref="Q56:Q70" si="5">Q55</f>
        <v>M-002</v>
      </c>
      <c r="R56" s="337" t="s">
        <v>275</v>
      </c>
      <c r="AS56" s="95"/>
      <c r="AT56" s="87"/>
      <c r="AU56" s="87"/>
    </row>
    <row r="57" spans="2:48" ht="30" customHeight="1" x14ac:dyDescent="0.2">
      <c r="B57" s="1028"/>
      <c r="C57" s="330" t="s">
        <v>185</v>
      </c>
      <c r="D57" s="306" t="s">
        <v>182</v>
      </c>
      <c r="E57" s="306" t="s">
        <v>280</v>
      </c>
      <c r="F57" s="306">
        <v>11119515</v>
      </c>
      <c r="G57" s="306">
        <v>2</v>
      </c>
      <c r="H57" s="306" t="s">
        <v>388</v>
      </c>
      <c r="I57" s="331">
        <v>43252</v>
      </c>
      <c r="J57" s="332">
        <v>2</v>
      </c>
      <c r="K57" s="369"/>
      <c r="L57" s="371"/>
      <c r="M57" s="335">
        <v>0.06</v>
      </c>
      <c r="N57" s="336">
        <f t="shared" si="2"/>
        <v>2.0000599999999999</v>
      </c>
      <c r="O57" s="306">
        <v>0.04</v>
      </c>
      <c r="P57" s="309">
        <f t="shared" ref="P57:P70" si="6">(0.34848*((750.7+754.5)/2)-0.009024*((52.2+58.7)/2)*EXP(0.0612*((20+20.6)/2)))/(273.15+((20+20.6)/2))</f>
        <v>0.88782702273489045</v>
      </c>
      <c r="Q57" s="306" t="str">
        <f t="shared" si="5"/>
        <v>M-002</v>
      </c>
      <c r="R57" s="337" t="s">
        <v>275</v>
      </c>
      <c r="AS57" s="95"/>
      <c r="AT57" s="87"/>
      <c r="AU57" s="87"/>
    </row>
    <row r="58" spans="2:48" ht="30" customHeight="1" x14ac:dyDescent="0.2">
      <c r="B58" s="1028"/>
      <c r="C58" s="330" t="s">
        <v>187</v>
      </c>
      <c r="D58" s="306" t="s">
        <v>182</v>
      </c>
      <c r="E58" s="306" t="s">
        <v>280</v>
      </c>
      <c r="F58" s="306">
        <v>11119515</v>
      </c>
      <c r="G58" s="306">
        <v>5</v>
      </c>
      <c r="H58" s="306" t="s">
        <v>388</v>
      </c>
      <c r="I58" s="331">
        <v>43252</v>
      </c>
      <c r="J58" s="332">
        <v>5</v>
      </c>
      <c r="K58" s="369"/>
      <c r="L58" s="371"/>
      <c r="M58" s="377">
        <v>0.01</v>
      </c>
      <c r="N58" s="336">
        <f t="shared" si="2"/>
        <v>5.0000099999999996</v>
      </c>
      <c r="O58" s="306">
        <v>0.05</v>
      </c>
      <c r="P58" s="309">
        <f t="shared" si="6"/>
        <v>0.88782702273489045</v>
      </c>
      <c r="Q58" s="306" t="str">
        <f t="shared" si="5"/>
        <v>M-002</v>
      </c>
      <c r="R58" s="337" t="s">
        <v>275</v>
      </c>
      <c r="AS58" s="95"/>
      <c r="AT58" s="87"/>
      <c r="AU58" s="87"/>
    </row>
    <row r="59" spans="2:48" ht="30" customHeight="1" x14ac:dyDescent="0.2">
      <c r="B59" s="1028"/>
      <c r="C59" s="330" t="s">
        <v>189</v>
      </c>
      <c r="D59" s="306" t="s">
        <v>182</v>
      </c>
      <c r="E59" s="306" t="s">
        <v>280</v>
      </c>
      <c r="F59" s="306">
        <v>11119515</v>
      </c>
      <c r="G59" s="306">
        <v>10</v>
      </c>
      <c r="H59" s="306" t="s">
        <v>388</v>
      </c>
      <c r="I59" s="331">
        <v>43252</v>
      </c>
      <c r="J59" s="332">
        <v>10</v>
      </c>
      <c r="K59" s="369"/>
      <c r="L59" s="371"/>
      <c r="M59" s="335">
        <v>7.0000000000000007E-2</v>
      </c>
      <c r="N59" s="336">
        <f t="shared" si="2"/>
        <v>10.000069999999999</v>
      </c>
      <c r="O59" s="306">
        <v>0.06</v>
      </c>
      <c r="P59" s="309">
        <f t="shared" si="6"/>
        <v>0.88782702273489045</v>
      </c>
      <c r="Q59" s="306" t="str">
        <f t="shared" si="5"/>
        <v>M-002</v>
      </c>
      <c r="R59" s="337" t="s">
        <v>275</v>
      </c>
      <c r="AS59" s="95"/>
      <c r="AT59" s="87"/>
      <c r="AU59" s="87"/>
    </row>
    <row r="60" spans="2:48" ht="30" customHeight="1" x14ac:dyDescent="0.2">
      <c r="B60" s="1028"/>
      <c r="C60" s="330" t="s">
        <v>191</v>
      </c>
      <c r="D60" s="306" t="s">
        <v>182</v>
      </c>
      <c r="E60" s="306" t="s">
        <v>280</v>
      </c>
      <c r="F60" s="306">
        <v>11119515</v>
      </c>
      <c r="G60" s="306" t="s">
        <v>193</v>
      </c>
      <c r="H60" s="306" t="s">
        <v>388</v>
      </c>
      <c r="I60" s="331">
        <v>43252</v>
      </c>
      <c r="J60" s="332">
        <v>20</v>
      </c>
      <c r="K60" s="369"/>
      <c r="L60" s="371"/>
      <c r="M60" s="335">
        <v>0.08</v>
      </c>
      <c r="N60" s="336">
        <f t="shared" si="2"/>
        <v>20.000080000000001</v>
      </c>
      <c r="O60" s="306">
        <v>0.08</v>
      </c>
      <c r="P60" s="309">
        <f t="shared" si="6"/>
        <v>0.88782702273489045</v>
      </c>
      <c r="Q60" s="306" t="str">
        <f t="shared" si="5"/>
        <v>M-002</v>
      </c>
      <c r="R60" s="337" t="s">
        <v>275</v>
      </c>
      <c r="AS60" s="95"/>
      <c r="AT60" s="87"/>
      <c r="AU60" s="87"/>
    </row>
    <row r="61" spans="2:48" ht="30" customHeight="1" x14ac:dyDescent="0.2">
      <c r="B61" s="1028"/>
      <c r="C61" s="330" t="s">
        <v>192</v>
      </c>
      <c r="D61" s="306" t="s">
        <v>182</v>
      </c>
      <c r="E61" s="306" t="s">
        <v>280</v>
      </c>
      <c r="F61" s="306">
        <v>11119515</v>
      </c>
      <c r="G61" s="306">
        <v>20</v>
      </c>
      <c r="H61" s="306" t="s">
        <v>388</v>
      </c>
      <c r="I61" s="331">
        <v>43252</v>
      </c>
      <c r="J61" s="332">
        <v>20</v>
      </c>
      <c r="K61" s="369"/>
      <c r="L61" s="371"/>
      <c r="M61" s="335">
        <v>7.0000000000000007E-2</v>
      </c>
      <c r="N61" s="336">
        <f t="shared" si="2"/>
        <v>20.000070000000001</v>
      </c>
      <c r="O61" s="306">
        <v>0.08</v>
      </c>
      <c r="P61" s="309">
        <f t="shared" si="6"/>
        <v>0.88782702273489045</v>
      </c>
      <c r="Q61" s="306" t="str">
        <f t="shared" si="5"/>
        <v>M-002</v>
      </c>
      <c r="R61" s="337" t="s">
        <v>275</v>
      </c>
      <c r="AS61" s="95"/>
      <c r="AT61" s="87"/>
      <c r="AU61" s="87"/>
    </row>
    <row r="62" spans="2:48" ht="30" customHeight="1" x14ac:dyDescent="0.2">
      <c r="B62" s="1028"/>
      <c r="C62" s="330" t="s">
        <v>194</v>
      </c>
      <c r="D62" s="306" t="s">
        <v>182</v>
      </c>
      <c r="E62" s="306" t="s">
        <v>280</v>
      </c>
      <c r="F62" s="306">
        <v>11119515</v>
      </c>
      <c r="G62" s="306">
        <v>50</v>
      </c>
      <c r="H62" s="306" t="s">
        <v>388</v>
      </c>
      <c r="I62" s="331">
        <v>43252</v>
      </c>
      <c r="J62" s="332">
        <v>50</v>
      </c>
      <c r="K62" s="369"/>
      <c r="L62" s="371"/>
      <c r="M62" s="335">
        <v>0.13</v>
      </c>
      <c r="N62" s="336">
        <f t="shared" si="2"/>
        <v>50.000129999999999</v>
      </c>
      <c r="O62" s="311">
        <v>0.1</v>
      </c>
      <c r="P62" s="309">
        <f t="shared" si="6"/>
        <v>0.88782702273489045</v>
      </c>
      <c r="Q62" s="306" t="str">
        <f t="shared" si="5"/>
        <v>M-002</v>
      </c>
      <c r="R62" s="337" t="s">
        <v>275</v>
      </c>
      <c r="AS62" s="95"/>
      <c r="AT62" s="87"/>
      <c r="AU62" s="87"/>
    </row>
    <row r="63" spans="2:48" ht="30" customHeight="1" x14ac:dyDescent="0.2">
      <c r="B63" s="1028"/>
      <c r="C63" s="330" t="s">
        <v>195</v>
      </c>
      <c r="D63" s="306" t="s">
        <v>182</v>
      </c>
      <c r="E63" s="306" t="s">
        <v>280</v>
      </c>
      <c r="F63" s="306">
        <v>11119515</v>
      </c>
      <c r="G63" s="306">
        <v>100</v>
      </c>
      <c r="H63" s="306" t="s">
        <v>388</v>
      </c>
      <c r="I63" s="331">
        <v>43252</v>
      </c>
      <c r="J63" s="332">
        <v>100</v>
      </c>
      <c r="K63" s="369"/>
      <c r="L63" s="371"/>
      <c r="M63" s="335">
        <v>0.14000000000000001</v>
      </c>
      <c r="N63" s="336">
        <f t="shared" si="2"/>
        <v>100.00014</v>
      </c>
      <c r="O63" s="306">
        <v>0.16</v>
      </c>
      <c r="P63" s="309">
        <f t="shared" si="6"/>
        <v>0.88782702273489045</v>
      </c>
      <c r="Q63" s="306" t="str">
        <f t="shared" si="5"/>
        <v>M-002</v>
      </c>
      <c r="R63" s="337" t="s">
        <v>275</v>
      </c>
      <c r="AT63" s="95"/>
      <c r="AU63" s="87"/>
      <c r="AV63" s="87"/>
    </row>
    <row r="64" spans="2:48" ht="30" customHeight="1" x14ac:dyDescent="0.2">
      <c r="B64" s="1028"/>
      <c r="C64" s="330" t="s">
        <v>197</v>
      </c>
      <c r="D64" s="306" t="s">
        <v>182</v>
      </c>
      <c r="E64" s="306" t="s">
        <v>280</v>
      </c>
      <c r="F64" s="306">
        <v>11119515</v>
      </c>
      <c r="G64" s="306" t="s">
        <v>199</v>
      </c>
      <c r="H64" s="306" t="s">
        <v>388</v>
      </c>
      <c r="I64" s="331">
        <v>43252</v>
      </c>
      <c r="J64" s="332">
        <v>200</v>
      </c>
      <c r="K64" s="369"/>
      <c r="L64" s="371"/>
      <c r="M64" s="335">
        <v>0.3</v>
      </c>
      <c r="N64" s="309">
        <f t="shared" si="2"/>
        <v>200.00030000000001</v>
      </c>
      <c r="O64" s="306">
        <v>0.3</v>
      </c>
      <c r="P64" s="309">
        <f t="shared" si="6"/>
        <v>0.88782702273489045</v>
      </c>
      <c r="Q64" s="306" t="str">
        <f t="shared" si="5"/>
        <v>M-002</v>
      </c>
      <c r="R64" s="337" t="s">
        <v>275</v>
      </c>
      <c r="AT64" s="95"/>
      <c r="AU64" s="87"/>
      <c r="AV64" s="87"/>
    </row>
    <row r="65" spans="2:50" ht="30" customHeight="1" x14ac:dyDescent="0.2">
      <c r="B65" s="1028"/>
      <c r="C65" s="330" t="s">
        <v>198</v>
      </c>
      <c r="D65" s="306" t="s">
        <v>182</v>
      </c>
      <c r="E65" s="306" t="s">
        <v>280</v>
      </c>
      <c r="F65" s="306">
        <v>11119515</v>
      </c>
      <c r="G65" s="306">
        <v>200</v>
      </c>
      <c r="H65" s="306" t="s">
        <v>388</v>
      </c>
      <c r="I65" s="331">
        <v>43252</v>
      </c>
      <c r="J65" s="332">
        <v>200</v>
      </c>
      <c r="K65" s="369"/>
      <c r="L65" s="371"/>
      <c r="M65" s="335">
        <v>0.2</v>
      </c>
      <c r="N65" s="309">
        <f t="shared" si="2"/>
        <v>200.00020000000001</v>
      </c>
      <c r="O65" s="306">
        <v>0.3</v>
      </c>
      <c r="P65" s="309">
        <f t="shared" si="6"/>
        <v>0.88782702273489045</v>
      </c>
      <c r="Q65" s="306" t="str">
        <f t="shared" si="5"/>
        <v>M-002</v>
      </c>
      <c r="R65" s="337" t="s">
        <v>275</v>
      </c>
      <c r="AT65" s="95"/>
      <c r="AU65" s="87"/>
      <c r="AV65" s="87"/>
    </row>
    <row r="66" spans="2:50" ht="30" customHeight="1" x14ac:dyDescent="0.2">
      <c r="B66" s="1028"/>
      <c r="C66" s="330" t="s">
        <v>200</v>
      </c>
      <c r="D66" s="306" t="s">
        <v>182</v>
      </c>
      <c r="E66" s="306" t="s">
        <v>280</v>
      </c>
      <c r="F66" s="306">
        <v>11119515</v>
      </c>
      <c r="G66" s="306">
        <v>500</v>
      </c>
      <c r="H66" s="306" t="s">
        <v>388</v>
      </c>
      <c r="I66" s="331">
        <v>43252</v>
      </c>
      <c r="J66" s="332">
        <v>500</v>
      </c>
      <c r="K66" s="369"/>
      <c r="L66" s="371"/>
      <c r="M66" s="335">
        <v>0.8</v>
      </c>
      <c r="N66" s="309">
        <f t="shared" si="2"/>
        <v>500.00080000000003</v>
      </c>
      <c r="O66" s="306">
        <v>0.8</v>
      </c>
      <c r="P66" s="309">
        <f t="shared" si="6"/>
        <v>0.88782702273489045</v>
      </c>
      <c r="Q66" s="306" t="str">
        <f t="shared" si="5"/>
        <v>M-002</v>
      </c>
      <c r="R66" s="337" t="s">
        <v>275</v>
      </c>
      <c r="AI66" s="164"/>
      <c r="AJ66" s="164"/>
      <c r="AK66" s="164"/>
      <c r="AQ66" s="165"/>
      <c r="AR66" s="165"/>
      <c r="AS66" s="95"/>
      <c r="AT66" s="95"/>
      <c r="AU66" s="87"/>
      <c r="AV66" s="87"/>
    </row>
    <row r="67" spans="2:50" ht="30" customHeight="1" x14ac:dyDescent="0.2">
      <c r="B67" s="1028"/>
      <c r="C67" s="330" t="s">
        <v>201</v>
      </c>
      <c r="D67" s="306" t="s">
        <v>182</v>
      </c>
      <c r="E67" s="306" t="s">
        <v>280</v>
      </c>
      <c r="F67" s="306">
        <v>11119515</v>
      </c>
      <c r="G67" s="306">
        <v>1</v>
      </c>
      <c r="H67" s="306" t="s">
        <v>388</v>
      </c>
      <c r="I67" s="331">
        <v>43252</v>
      </c>
      <c r="J67" s="332">
        <v>1000</v>
      </c>
      <c r="K67" s="369"/>
      <c r="L67" s="368"/>
      <c r="M67" s="335">
        <v>1.9</v>
      </c>
      <c r="N67" s="309">
        <f t="shared" si="2"/>
        <v>1000.0019</v>
      </c>
      <c r="O67" s="306">
        <v>1.6</v>
      </c>
      <c r="P67" s="309">
        <f t="shared" si="6"/>
        <v>0.88782702273489045</v>
      </c>
      <c r="Q67" s="306" t="str">
        <f t="shared" si="5"/>
        <v>M-002</v>
      </c>
      <c r="R67" s="337" t="s">
        <v>275</v>
      </c>
      <c r="AI67" s="166"/>
      <c r="AJ67" s="166"/>
      <c r="AK67" s="166"/>
      <c r="AQ67" s="166"/>
      <c r="AR67" s="166"/>
      <c r="AS67" s="166"/>
      <c r="AT67" s="166"/>
      <c r="AU67" s="166"/>
      <c r="AV67" s="166"/>
      <c r="AW67" s="166"/>
      <c r="AX67" s="166"/>
    </row>
    <row r="68" spans="2:50" ht="30" customHeight="1" x14ac:dyDescent="0.2">
      <c r="B68" s="1028"/>
      <c r="C68" s="330" t="s">
        <v>202</v>
      </c>
      <c r="D68" s="306" t="s">
        <v>182</v>
      </c>
      <c r="E68" s="306" t="s">
        <v>280</v>
      </c>
      <c r="F68" s="306">
        <v>11119515</v>
      </c>
      <c r="G68" s="306" t="s">
        <v>186</v>
      </c>
      <c r="H68" s="306" t="s">
        <v>388</v>
      </c>
      <c r="I68" s="331">
        <v>43252</v>
      </c>
      <c r="J68" s="332">
        <v>2000</v>
      </c>
      <c r="K68" s="369"/>
      <c r="L68" s="368"/>
      <c r="M68" s="370">
        <v>1.9</v>
      </c>
      <c r="N68" s="309">
        <f t="shared" si="2"/>
        <v>2000.0019</v>
      </c>
      <c r="O68" s="310">
        <v>3</v>
      </c>
      <c r="P68" s="309">
        <f t="shared" si="6"/>
        <v>0.88782702273489045</v>
      </c>
      <c r="Q68" s="306" t="str">
        <f t="shared" si="5"/>
        <v>M-002</v>
      </c>
      <c r="R68" s="337" t="s">
        <v>275</v>
      </c>
      <c r="AE68" s="166"/>
      <c r="AF68" s="166"/>
      <c r="AG68" s="166"/>
      <c r="AH68" s="166"/>
      <c r="AI68" s="166"/>
      <c r="AJ68" s="166"/>
      <c r="AK68" s="166"/>
      <c r="AQ68" s="166"/>
      <c r="AR68" s="166"/>
      <c r="AS68" s="166"/>
      <c r="AT68" s="166"/>
      <c r="AU68" s="166"/>
      <c r="AV68" s="166"/>
      <c r="AW68" s="166"/>
      <c r="AX68" s="166"/>
    </row>
    <row r="69" spans="2:50" ht="30" customHeight="1" x14ac:dyDescent="0.2">
      <c r="B69" s="1028"/>
      <c r="C69" s="330" t="s">
        <v>203</v>
      </c>
      <c r="D69" s="306" t="s">
        <v>182</v>
      </c>
      <c r="E69" s="306" t="s">
        <v>280</v>
      </c>
      <c r="F69" s="306">
        <v>11119515</v>
      </c>
      <c r="G69" s="306">
        <v>2</v>
      </c>
      <c r="H69" s="306" t="s">
        <v>388</v>
      </c>
      <c r="I69" s="331">
        <v>43252</v>
      </c>
      <c r="J69" s="332">
        <v>2000</v>
      </c>
      <c r="K69" s="369"/>
      <c r="L69" s="368"/>
      <c r="M69" s="370">
        <v>2.1</v>
      </c>
      <c r="N69" s="309">
        <f t="shared" si="2"/>
        <v>2000.0020999999999</v>
      </c>
      <c r="O69" s="310">
        <v>3</v>
      </c>
      <c r="P69" s="309">
        <f t="shared" si="6"/>
        <v>0.88782702273489045</v>
      </c>
      <c r="Q69" s="306" t="str">
        <f t="shared" si="5"/>
        <v>M-002</v>
      </c>
      <c r="R69" s="337" t="s">
        <v>275</v>
      </c>
      <c r="S69" s="86"/>
      <c r="T69" s="86"/>
      <c r="U69" s="86"/>
      <c r="V69" s="86"/>
      <c r="W69" s="86"/>
      <c r="X69" s="8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Q69" s="166"/>
      <c r="AR69" s="166"/>
      <c r="AS69" s="166"/>
      <c r="AT69" s="166"/>
      <c r="AU69" s="166"/>
      <c r="AV69" s="166"/>
      <c r="AW69" s="166"/>
      <c r="AX69" s="166"/>
    </row>
    <row r="70" spans="2:50" ht="30" customHeight="1" thickBot="1" x14ac:dyDescent="0.25">
      <c r="B70" s="1029"/>
      <c r="C70" s="338" t="s">
        <v>204</v>
      </c>
      <c r="D70" s="317" t="s">
        <v>182</v>
      </c>
      <c r="E70" s="317" t="s">
        <v>280</v>
      </c>
      <c r="F70" s="317">
        <v>11119515</v>
      </c>
      <c r="G70" s="317">
        <v>5</v>
      </c>
      <c r="H70" s="317" t="s">
        <v>388</v>
      </c>
      <c r="I70" s="339">
        <v>43252</v>
      </c>
      <c r="J70" s="340">
        <v>5000</v>
      </c>
      <c r="K70" s="372"/>
      <c r="L70" s="378"/>
      <c r="M70" s="343">
        <v>5.8</v>
      </c>
      <c r="N70" s="318">
        <f t="shared" si="2"/>
        <v>5000.0057999999999</v>
      </c>
      <c r="O70" s="344">
        <v>8</v>
      </c>
      <c r="P70" s="318">
        <f t="shared" si="6"/>
        <v>0.88782702273489045</v>
      </c>
      <c r="Q70" s="317" t="str">
        <f t="shared" si="5"/>
        <v>M-002</v>
      </c>
      <c r="R70" s="345" t="s">
        <v>275</v>
      </c>
      <c r="S70" s="86"/>
      <c r="T70" s="86"/>
      <c r="U70" s="86"/>
      <c r="V70" s="86"/>
      <c r="W70" s="86"/>
      <c r="X70" s="8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Q70" s="166"/>
      <c r="AR70" s="166"/>
      <c r="AS70" s="166"/>
      <c r="AT70" s="166"/>
      <c r="AU70" s="166"/>
      <c r="AV70" s="166"/>
      <c r="AW70" s="166"/>
      <c r="AX70" s="166"/>
    </row>
    <row r="71" spans="2:50" ht="30" customHeight="1" thickBot="1" x14ac:dyDescent="0.25">
      <c r="B71" s="384"/>
      <c r="C71" s="577" t="s">
        <v>205</v>
      </c>
      <c r="D71" s="578" t="s">
        <v>182</v>
      </c>
      <c r="E71" s="578" t="s">
        <v>280</v>
      </c>
      <c r="F71" s="578">
        <v>11119467</v>
      </c>
      <c r="G71" s="578">
        <v>10</v>
      </c>
      <c r="H71" s="578" t="s">
        <v>362</v>
      </c>
      <c r="I71" s="579">
        <v>43234</v>
      </c>
      <c r="J71" s="580">
        <v>10000</v>
      </c>
      <c r="K71" s="581"/>
      <c r="L71" s="582"/>
      <c r="M71" s="583">
        <v>7</v>
      </c>
      <c r="N71" s="584">
        <f t="shared" si="2"/>
        <v>10000.007</v>
      </c>
      <c r="O71" s="578">
        <v>16</v>
      </c>
      <c r="P71" s="585">
        <f>(0.34848*((752.6+754.6)/2)-0.009024*((54.2+56.2)/2)*EXP(0.0612*((20+20.2)/2)))/(273.15+((20+20.2)/2))</f>
        <v>0.88971909362420276</v>
      </c>
      <c r="Q71" s="578" t="s">
        <v>206</v>
      </c>
      <c r="R71" s="586" t="s">
        <v>275</v>
      </c>
      <c r="S71" s="86"/>
      <c r="T71" s="86"/>
      <c r="U71" s="86"/>
      <c r="V71" s="86"/>
      <c r="W71" s="86"/>
      <c r="X71" s="8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Q71" s="166"/>
      <c r="AR71" s="166"/>
      <c r="AS71" s="166"/>
      <c r="AT71" s="166"/>
      <c r="AU71" s="166"/>
      <c r="AV71" s="166"/>
      <c r="AW71" s="166"/>
      <c r="AX71" s="166"/>
    </row>
    <row r="72" spans="2:50" ht="30" customHeight="1" thickBot="1" x14ac:dyDescent="0.25">
      <c r="B72" s="669"/>
      <c r="C72" s="587" t="s">
        <v>207</v>
      </c>
      <c r="D72" s="588" t="s">
        <v>182</v>
      </c>
      <c r="E72" s="588" t="s">
        <v>280</v>
      </c>
      <c r="F72" s="588">
        <v>11119468</v>
      </c>
      <c r="G72" s="588">
        <v>20</v>
      </c>
      <c r="H72" s="588" t="s">
        <v>363</v>
      </c>
      <c r="I72" s="589">
        <v>43230</v>
      </c>
      <c r="J72" s="590">
        <v>20000</v>
      </c>
      <c r="K72" s="591"/>
      <c r="L72" s="592"/>
      <c r="M72" s="593">
        <v>0</v>
      </c>
      <c r="N72" s="594">
        <f t="shared" si="2"/>
        <v>20000</v>
      </c>
      <c r="O72" s="588">
        <v>30</v>
      </c>
      <c r="P72" s="595">
        <f>(0.34848*((753.6+753.8)/2)-0.009024*((49.3+49.6)/2)*EXP(0.0612*((21.3+21.4)/2)))/(273.15+((21.3+21.4)/2))</f>
        <v>0.88625169920254576</v>
      </c>
      <c r="Q72" s="588" t="s">
        <v>208</v>
      </c>
      <c r="R72" s="596" t="s">
        <v>275</v>
      </c>
      <c r="S72" s="86"/>
      <c r="T72" s="86"/>
      <c r="U72" s="86"/>
      <c r="V72" s="86"/>
      <c r="W72" s="86"/>
      <c r="X72" s="8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Q72" s="166"/>
      <c r="AR72" s="166"/>
      <c r="AS72" s="166"/>
      <c r="AT72" s="166"/>
      <c r="AU72" s="166"/>
      <c r="AV72" s="166"/>
      <c r="AW72" s="166"/>
      <c r="AX72" s="166"/>
    </row>
    <row r="73" spans="2:50" ht="30" customHeight="1" x14ac:dyDescent="0.2">
      <c r="B73" s="1025" t="s">
        <v>440</v>
      </c>
      <c r="C73" s="346" t="s">
        <v>209</v>
      </c>
      <c r="D73" s="347" t="s">
        <v>182</v>
      </c>
      <c r="E73" s="347" t="s">
        <v>210</v>
      </c>
      <c r="F73" s="347" t="s">
        <v>281</v>
      </c>
      <c r="G73" s="347" t="s">
        <v>212</v>
      </c>
      <c r="H73" s="347" t="s">
        <v>364</v>
      </c>
      <c r="I73" s="348">
        <v>43228</v>
      </c>
      <c r="J73" s="349">
        <v>1</v>
      </c>
      <c r="K73" s="379"/>
      <c r="L73" s="380"/>
      <c r="M73" s="381">
        <v>0.04</v>
      </c>
      <c r="N73" s="382">
        <f t="shared" si="2"/>
        <v>1.00004</v>
      </c>
      <c r="O73" s="383">
        <v>3.3000000000000002E-2</v>
      </c>
      <c r="P73" s="353">
        <f>(0.34848*((751.2+755.7)/2)-0.009024*((48.4+57.9)/2)*EXP(0.0612*((19.5+20.7)/2)))/(273.15+((19.5+20.7)/2))</f>
        <v>0.88975669159417592</v>
      </c>
      <c r="Q73" s="347" t="s">
        <v>214</v>
      </c>
      <c r="R73" s="354" t="s">
        <v>275</v>
      </c>
      <c r="S73" s="86"/>
      <c r="T73" s="86"/>
      <c r="U73" s="86"/>
      <c r="V73" s="86"/>
      <c r="W73" s="86"/>
      <c r="X73" s="8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</row>
    <row r="74" spans="2:50" ht="30" customHeight="1" x14ac:dyDescent="0.2">
      <c r="B74" s="1026"/>
      <c r="C74" s="330" t="s">
        <v>215</v>
      </c>
      <c r="D74" s="306" t="s">
        <v>182</v>
      </c>
      <c r="E74" s="306" t="s">
        <v>210</v>
      </c>
      <c r="F74" s="306" t="s">
        <v>281</v>
      </c>
      <c r="G74" s="306" t="s">
        <v>212</v>
      </c>
      <c r="H74" s="306" t="s">
        <v>364</v>
      </c>
      <c r="I74" s="331">
        <v>43228</v>
      </c>
      <c r="J74" s="332">
        <v>2</v>
      </c>
      <c r="K74" s="369"/>
      <c r="L74" s="368"/>
      <c r="M74" s="377">
        <v>0.04</v>
      </c>
      <c r="N74" s="336">
        <f t="shared" si="2"/>
        <v>2.0000399999999998</v>
      </c>
      <c r="O74" s="311">
        <v>0.04</v>
      </c>
      <c r="P74" s="309">
        <f t="shared" ref="P74:P88" si="7">(0.34848*((751.2+755.7)/2)-0.009024*((48.4+57.9)/2)*EXP(0.0612*((19.5+20.7)/2)))/(273.15+((19.5+20.7)/2))</f>
        <v>0.88975669159417592</v>
      </c>
      <c r="Q74" s="306" t="str">
        <f>Q73</f>
        <v>M-016</v>
      </c>
      <c r="R74" s="337" t="s">
        <v>275</v>
      </c>
      <c r="S74" s="86"/>
      <c r="T74" s="86"/>
      <c r="U74" s="86"/>
      <c r="V74" s="86"/>
      <c r="W74" s="86"/>
      <c r="X74" s="8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</row>
    <row r="75" spans="2:50" ht="30" customHeight="1" x14ac:dyDescent="0.2">
      <c r="B75" s="1026"/>
      <c r="C75" s="330" t="s">
        <v>216</v>
      </c>
      <c r="D75" s="306" t="s">
        <v>182</v>
      </c>
      <c r="E75" s="306" t="s">
        <v>210</v>
      </c>
      <c r="F75" s="306" t="s">
        <v>281</v>
      </c>
      <c r="G75" s="306" t="s">
        <v>217</v>
      </c>
      <c r="H75" s="306" t="s">
        <v>364</v>
      </c>
      <c r="I75" s="331">
        <v>43228</v>
      </c>
      <c r="J75" s="332">
        <v>2</v>
      </c>
      <c r="K75" s="369"/>
      <c r="L75" s="368"/>
      <c r="M75" s="335">
        <v>0.05</v>
      </c>
      <c r="N75" s="365">
        <f t="shared" si="2"/>
        <v>2.0000499999999999</v>
      </c>
      <c r="O75" s="311">
        <v>0.04</v>
      </c>
      <c r="P75" s="309">
        <f t="shared" si="7"/>
        <v>0.88975669159417592</v>
      </c>
      <c r="Q75" s="306" t="str">
        <f t="shared" ref="Q75:Q88" si="8">Q74</f>
        <v>M-016</v>
      </c>
      <c r="R75" s="337" t="s">
        <v>275</v>
      </c>
      <c r="U75" s="86"/>
      <c r="V75" s="86"/>
      <c r="W75" s="86"/>
      <c r="X75" s="8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</row>
    <row r="76" spans="2:50" ht="30" customHeight="1" x14ac:dyDescent="0.2">
      <c r="B76" s="1026"/>
      <c r="C76" s="330" t="s">
        <v>218</v>
      </c>
      <c r="D76" s="306" t="s">
        <v>182</v>
      </c>
      <c r="E76" s="306" t="s">
        <v>210</v>
      </c>
      <c r="F76" s="306" t="s">
        <v>281</v>
      </c>
      <c r="G76" s="306" t="s">
        <v>212</v>
      </c>
      <c r="H76" s="306" t="s">
        <v>364</v>
      </c>
      <c r="I76" s="331">
        <v>43228</v>
      </c>
      <c r="J76" s="332">
        <v>5</v>
      </c>
      <c r="K76" s="369"/>
      <c r="L76" s="368"/>
      <c r="M76" s="335">
        <v>7.0000000000000007E-2</v>
      </c>
      <c r="N76" s="365">
        <f t="shared" si="2"/>
        <v>5.00007</v>
      </c>
      <c r="O76" s="311">
        <v>5.2999999999999999E-2</v>
      </c>
      <c r="P76" s="309">
        <f t="shared" si="7"/>
        <v>0.88975669159417592</v>
      </c>
      <c r="Q76" s="306" t="str">
        <f t="shared" si="8"/>
        <v>M-016</v>
      </c>
      <c r="R76" s="337" t="s">
        <v>275</v>
      </c>
      <c r="U76" s="86"/>
      <c r="V76" s="86"/>
      <c r="W76" s="86"/>
      <c r="X76" s="8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</row>
    <row r="77" spans="2:50" ht="30" customHeight="1" x14ac:dyDescent="0.2">
      <c r="B77" s="1026"/>
      <c r="C77" s="330" t="s">
        <v>219</v>
      </c>
      <c r="D77" s="306" t="s">
        <v>182</v>
      </c>
      <c r="E77" s="306" t="s">
        <v>210</v>
      </c>
      <c r="F77" s="306" t="s">
        <v>281</v>
      </c>
      <c r="G77" s="306" t="s">
        <v>212</v>
      </c>
      <c r="H77" s="306" t="s">
        <v>364</v>
      </c>
      <c r="I77" s="331">
        <v>43228</v>
      </c>
      <c r="J77" s="332">
        <v>10</v>
      </c>
      <c r="K77" s="369"/>
      <c r="L77" s="368"/>
      <c r="M77" s="335">
        <v>0.09</v>
      </c>
      <c r="N77" s="365">
        <f t="shared" si="2"/>
        <v>10.00009</v>
      </c>
      <c r="O77" s="311">
        <v>0.06</v>
      </c>
      <c r="P77" s="309">
        <f t="shared" si="7"/>
        <v>0.88975669159417592</v>
      </c>
      <c r="Q77" s="306" t="str">
        <f t="shared" si="8"/>
        <v>M-016</v>
      </c>
      <c r="R77" s="337" t="s">
        <v>275</v>
      </c>
      <c r="U77" s="86"/>
      <c r="V77" s="86"/>
      <c r="W77" s="86"/>
      <c r="X77" s="86"/>
      <c r="Y77" s="86"/>
      <c r="Z77" s="8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</row>
    <row r="78" spans="2:50" ht="30" customHeight="1" x14ac:dyDescent="0.2">
      <c r="B78" s="1026"/>
      <c r="C78" s="330" t="s">
        <v>220</v>
      </c>
      <c r="D78" s="306" t="s">
        <v>182</v>
      </c>
      <c r="E78" s="306" t="s">
        <v>210</v>
      </c>
      <c r="F78" s="306" t="s">
        <v>281</v>
      </c>
      <c r="G78" s="306" t="s">
        <v>212</v>
      </c>
      <c r="H78" s="306" t="s">
        <v>364</v>
      </c>
      <c r="I78" s="331">
        <v>43228</v>
      </c>
      <c r="J78" s="332">
        <v>20</v>
      </c>
      <c r="K78" s="369"/>
      <c r="L78" s="368"/>
      <c r="M78" s="335">
        <v>0.11</v>
      </c>
      <c r="N78" s="365">
        <f t="shared" si="2"/>
        <v>20.000109999999999</v>
      </c>
      <c r="O78" s="311">
        <v>8.3000000000000004E-2</v>
      </c>
      <c r="P78" s="309">
        <f t="shared" si="7"/>
        <v>0.88975669159417592</v>
      </c>
      <c r="Q78" s="306" t="str">
        <f t="shared" si="8"/>
        <v>M-016</v>
      </c>
      <c r="R78" s="337" t="s">
        <v>275</v>
      </c>
      <c r="U78" s="86"/>
      <c r="V78" s="86"/>
      <c r="W78" s="86"/>
      <c r="X78" s="86"/>
      <c r="Y78" s="86"/>
      <c r="Z78" s="8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</row>
    <row r="79" spans="2:50" ht="30" customHeight="1" x14ac:dyDescent="0.2">
      <c r="B79" s="1026"/>
      <c r="C79" s="330" t="s">
        <v>221</v>
      </c>
      <c r="D79" s="306" t="s">
        <v>182</v>
      </c>
      <c r="E79" s="306" t="s">
        <v>210</v>
      </c>
      <c r="F79" s="306" t="s">
        <v>281</v>
      </c>
      <c r="G79" s="306" t="s">
        <v>217</v>
      </c>
      <c r="H79" s="306" t="s">
        <v>364</v>
      </c>
      <c r="I79" s="331">
        <v>43228</v>
      </c>
      <c r="J79" s="332">
        <v>20</v>
      </c>
      <c r="K79" s="369"/>
      <c r="L79" s="368"/>
      <c r="M79" s="377">
        <v>0.1</v>
      </c>
      <c r="N79" s="365">
        <f t="shared" si="2"/>
        <v>20.0001</v>
      </c>
      <c r="O79" s="311">
        <v>8.3000000000000004E-2</v>
      </c>
      <c r="P79" s="309">
        <f t="shared" si="7"/>
        <v>0.88975669159417592</v>
      </c>
      <c r="Q79" s="306" t="str">
        <f t="shared" si="8"/>
        <v>M-016</v>
      </c>
      <c r="R79" s="337" t="s">
        <v>275</v>
      </c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</row>
    <row r="80" spans="2:50" ht="30" customHeight="1" x14ac:dyDescent="0.2">
      <c r="B80" s="1026"/>
      <c r="C80" s="330" t="s">
        <v>222</v>
      </c>
      <c r="D80" s="306" t="s">
        <v>182</v>
      </c>
      <c r="E80" s="306" t="s">
        <v>210</v>
      </c>
      <c r="F80" s="306" t="s">
        <v>281</v>
      </c>
      <c r="G80" s="306" t="s">
        <v>212</v>
      </c>
      <c r="H80" s="306" t="s">
        <v>364</v>
      </c>
      <c r="I80" s="331">
        <v>43228</v>
      </c>
      <c r="J80" s="332">
        <v>50</v>
      </c>
      <c r="K80" s="369"/>
      <c r="L80" s="368"/>
      <c r="M80" s="377">
        <v>0.1</v>
      </c>
      <c r="N80" s="336">
        <f t="shared" si="2"/>
        <v>50.000100000000003</v>
      </c>
      <c r="O80" s="311">
        <v>0.1</v>
      </c>
      <c r="P80" s="309">
        <f t="shared" si="7"/>
        <v>0.88975669159417592</v>
      </c>
      <c r="Q80" s="306" t="str">
        <f t="shared" si="8"/>
        <v>M-016</v>
      </c>
      <c r="R80" s="337" t="s">
        <v>275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</row>
    <row r="81" spans="2:50" ht="30" customHeight="1" x14ac:dyDescent="0.2">
      <c r="B81" s="1026"/>
      <c r="C81" s="330" t="s">
        <v>223</v>
      </c>
      <c r="D81" s="306" t="s">
        <v>182</v>
      </c>
      <c r="E81" s="306" t="s">
        <v>210</v>
      </c>
      <c r="F81" s="306" t="s">
        <v>281</v>
      </c>
      <c r="G81" s="306" t="s">
        <v>212</v>
      </c>
      <c r="H81" s="306" t="s">
        <v>364</v>
      </c>
      <c r="I81" s="331">
        <v>43228</v>
      </c>
      <c r="J81" s="332">
        <v>100</v>
      </c>
      <c r="K81" s="369"/>
      <c r="L81" s="368"/>
      <c r="M81" s="335">
        <v>0.12</v>
      </c>
      <c r="N81" s="336">
        <f t="shared" si="2"/>
        <v>100.00012</v>
      </c>
      <c r="O81" s="306">
        <v>0.16</v>
      </c>
      <c r="P81" s="309">
        <f t="shared" si="7"/>
        <v>0.88975669159417592</v>
      </c>
      <c r="Q81" s="306" t="str">
        <f t="shared" si="8"/>
        <v>M-016</v>
      </c>
      <c r="R81" s="337" t="s">
        <v>275</v>
      </c>
      <c r="U81" s="86"/>
      <c r="V81" s="86"/>
      <c r="W81" s="86"/>
      <c r="X81" s="86"/>
      <c r="Y81" s="86"/>
      <c r="Z81" s="8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V81" s="166"/>
      <c r="AW81" s="166"/>
      <c r="AX81" s="166"/>
    </row>
    <row r="82" spans="2:50" ht="30" customHeight="1" x14ac:dyDescent="0.2">
      <c r="B82" s="1026"/>
      <c r="C82" s="330" t="s">
        <v>224</v>
      </c>
      <c r="D82" s="306" t="s">
        <v>182</v>
      </c>
      <c r="E82" s="306" t="s">
        <v>210</v>
      </c>
      <c r="F82" s="306" t="s">
        <v>281</v>
      </c>
      <c r="G82" s="306" t="s">
        <v>212</v>
      </c>
      <c r="H82" s="306" t="s">
        <v>364</v>
      </c>
      <c r="I82" s="331">
        <v>43228</v>
      </c>
      <c r="J82" s="332">
        <v>200</v>
      </c>
      <c r="K82" s="369"/>
      <c r="L82" s="368"/>
      <c r="M82" s="335">
        <v>0.3</v>
      </c>
      <c r="N82" s="336">
        <f t="shared" si="2"/>
        <v>200.00030000000001</v>
      </c>
      <c r="O82" s="310">
        <v>0.33</v>
      </c>
      <c r="P82" s="309">
        <f t="shared" si="7"/>
        <v>0.88975669159417592</v>
      </c>
      <c r="Q82" s="306" t="str">
        <f t="shared" si="8"/>
        <v>M-016</v>
      </c>
      <c r="R82" s="337" t="s">
        <v>275</v>
      </c>
      <c r="U82" s="86"/>
      <c r="V82" s="86"/>
      <c r="W82" s="86"/>
      <c r="X82" s="86"/>
      <c r="Y82" s="86"/>
      <c r="Z82" s="8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V82" s="166"/>
      <c r="AW82" s="166"/>
      <c r="AX82" s="166"/>
    </row>
    <row r="83" spans="2:50" ht="30" customHeight="1" x14ac:dyDescent="0.2">
      <c r="B83" s="1026"/>
      <c r="C83" s="330" t="s">
        <v>225</v>
      </c>
      <c r="D83" s="306" t="s">
        <v>182</v>
      </c>
      <c r="E83" s="306" t="s">
        <v>210</v>
      </c>
      <c r="F83" s="306" t="s">
        <v>281</v>
      </c>
      <c r="G83" s="306" t="s">
        <v>217</v>
      </c>
      <c r="H83" s="306" t="s">
        <v>364</v>
      </c>
      <c r="I83" s="331">
        <v>43228</v>
      </c>
      <c r="J83" s="332">
        <v>200</v>
      </c>
      <c r="K83" s="369"/>
      <c r="L83" s="368"/>
      <c r="M83" s="335">
        <v>0.4</v>
      </c>
      <c r="N83" s="336">
        <f t="shared" si="2"/>
        <v>200.00040000000001</v>
      </c>
      <c r="O83" s="310">
        <v>0.33</v>
      </c>
      <c r="P83" s="309">
        <f t="shared" si="7"/>
        <v>0.88975669159417592</v>
      </c>
      <c r="Q83" s="306" t="str">
        <f t="shared" si="8"/>
        <v>M-016</v>
      </c>
      <c r="R83" s="337" t="s">
        <v>275</v>
      </c>
      <c r="U83" s="86"/>
      <c r="V83" s="86"/>
      <c r="W83" s="86"/>
      <c r="X83" s="86"/>
      <c r="Y83" s="86"/>
      <c r="Z83" s="8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V83" s="166"/>
      <c r="AW83" s="166"/>
      <c r="AX83" s="166"/>
    </row>
    <row r="84" spans="2:50" ht="30" customHeight="1" x14ac:dyDescent="0.2">
      <c r="B84" s="1026"/>
      <c r="C84" s="330" t="s">
        <v>226</v>
      </c>
      <c r="D84" s="306" t="s">
        <v>182</v>
      </c>
      <c r="E84" s="306" t="s">
        <v>210</v>
      </c>
      <c r="F84" s="306" t="s">
        <v>281</v>
      </c>
      <c r="G84" s="306" t="s">
        <v>212</v>
      </c>
      <c r="H84" s="306" t="s">
        <v>364</v>
      </c>
      <c r="I84" s="331">
        <v>43228</v>
      </c>
      <c r="J84" s="332">
        <v>500</v>
      </c>
      <c r="K84" s="369"/>
      <c r="L84" s="368"/>
      <c r="M84" s="335">
        <v>0.9</v>
      </c>
      <c r="N84" s="336">
        <f t="shared" si="2"/>
        <v>500.0009</v>
      </c>
      <c r="O84" s="310">
        <v>0.83</v>
      </c>
      <c r="P84" s="309">
        <f t="shared" si="7"/>
        <v>0.88975669159417592</v>
      </c>
      <c r="Q84" s="306" t="str">
        <f t="shared" si="8"/>
        <v>M-016</v>
      </c>
      <c r="R84" s="337" t="s">
        <v>275</v>
      </c>
      <c r="S84" s="86"/>
      <c r="T84" s="86"/>
      <c r="U84" s="86"/>
      <c r="V84" s="86"/>
      <c r="W84" s="86"/>
      <c r="X84" s="86"/>
      <c r="Y84" s="86"/>
      <c r="Z84" s="8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V84" s="166"/>
      <c r="AW84" s="166"/>
      <c r="AX84" s="166"/>
    </row>
    <row r="85" spans="2:50" ht="30" customHeight="1" x14ac:dyDescent="0.2">
      <c r="B85" s="1026"/>
      <c r="C85" s="330" t="s">
        <v>227</v>
      </c>
      <c r="D85" s="306" t="s">
        <v>182</v>
      </c>
      <c r="E85" s="306" t="s">
        <v>210</v>
      </c>
      <c r="F85" s="306" t="s">
        <v>281</v>
      </c>
      <c r="G85" s="306" t="s">
        <v>212</v>
      </c>
      <c r="H85" s="306" t="s">
        <v>364</v>
      </c>
      <c r="I85" s="331">
        <v>43228</v>
      </c>
      <c r="J85" s="332">
        <v>1000</v>
      </c>
      <c r="K85" s="369"/>
      <c r="L85" s="368"/>
      <c r="M85" s="370">
        <v>-0.5</v>
      </c>
      <c r="N85" s="309">
        <f t="shared" si="2"/>
        <v>999.99950000000001</v>
      </c>
      <c r="O85" s="306">
        <v>1.6</v>
      </c>
      <c r="P85" s="309">
        <f t="shared" si="7"/>
        <v>0.88975669159417592</v>
      </c>
      <c r="Q85" s="306" t="str">
        <f t="shared" si="8"/>
        <v>M-016</v>
      </c>
      <c r="R85" s="337" t="s">
        <v>275</v>
      </c>
      <c r="S85" s="86"/>
      <c r="T85" s="86"/>
      <c r="U85" s="86"/>
      <c r="V85" s="86"/>
      <c r="W85" s="86"/>
      <c r="X85" s="86"/>
      <c r="Y85" s="86"/>
      <c r="Z85" s="8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V85" s="166"/>
      <c r="AW85" s="166"/>
      <c r="AX85" s="166"/>
    </row>
    <row r="86" spans="2:50" ht="30" customHeight="1" x14ac:dyDescent="0.2">
      <c r="B86" s="1026"/>
      <c r="C86" s="330" t="s">
        <v>228</v>
      </c>
      <c r="D86" s="306" t="s">
        <v>182</v>
      </c>
      <c r="E86" s="306" t="s">
        <v>210</v>
      </c>
      <c r="F86" s="306" t="s">
        <v>281</v>
      </c>
      <c r="G86" s="306" t="s">
        <v>212</v>
      </c>
      <c r="H86" s="306" t="s">
        <v>364</v>
      </c>
      <c r="I86" s="331">
        <v>43228</v>
      </c>
      <c r="J86" s="332">
        <v>2000</v>
      </c>
      <c r="K86" s="369"/>
      <c r="L86" s="368"/>
      <c r="M86" s="370">
        <v>3.1</v>
      </c>
      <c r="N86" s="309">
        <f t="shared" si="2"/>
        <v>2000.0030999999999</v>
      </c>
      <c r="O86" s="310">
        <v>3</v>
      </c>
      <c r="P86" s="309">
        <f t="shared" si="7"/>
        <v>0.88975669159417592</v>
      </c>
      <c r="Q86" s="306" t="str">
        <f t="shared" si="8"/>
        <v>M-016</v>
      </c>
      <c r="R86" s="337" t="s">
        <v>275</v>
      </c>
      <c r="S86" s="86"/>
      <c r="T86" s="86"/>
      <c r="U86" s="86"/>
      <c r="V86" s="86"/>
      <c r="W86" s="86"/>
      <c r="X86" s="86"/>
      <c r="Y86" s="86"/>
      <c r="Z86" s="8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V86" s="166"/>
      <c r="AW86" s="166"/>
      <c r="AX86" s="166"/>
    </row>
    <row r="87" spans="2:50" ht="30" customHeight="1" x14ac:dyDescent="0.2">
      <c r="B87" s="1026"/>
      <c r="C87" s="330" t="s">
        <v>229</v>
      </c>
      <c r="D87" s="306" t="s">
        <v>182</v>
      </c>
      <c r="E87" s="306" t="s">
        <v>210</v>
      </c>
      <c r="F87" s="306" t="s">
        <v>281</v>
      </c>
      <c r="G87" s="306" t="s">
        <v>217</v>
      </c>
      <c r="H87" s="306" t="s">
        <v>364</v>
      </c>
      <c r="I87" s="331">
        <v>43228</v>
      </c>
      <c r="J87" s="332">
        <v>2000</v>
      </c>
      <c r="K87" s="369"/>
      <c r="L87" s="368"/>
      <c r="M87" s="335">
        <v>3.2</v>
      </c>
      <c r="N87" s="309">
        <f t="shared" si="2"/>
        <v>2000.0032000000001</v>
      </c>
      <c r="O87" s="310">
        <v>3</v>
      </c>
      <c r="P87" s="309">
        <f t="shared" si="7"/>
        <v>0.88975669159417592</v>
      </c>
      <c r="Q87" s="306" t="str">
        <f>Q86</f>
        <v>M-016</v>
      </c>
      <c r="R87" s="337" t="s">
        <v>275</v>
      </c>
      <c r="S87" s="86"/>
      <c r="T87" s="86"/>
      <c r="U87" s="8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V87" s="166"/>
      <c r="AW87" s="166"/>
      <c r="AX87" s="166"/>
    </row>
    <row r="88" spans="2:50" ht="30" customHeight="1" thickBot="1" x14ac:dyDescent="0.25">
      <c r="B88" s="1027"/>
      <c r="C88" s="338" t="s">
        <v>230</v>
      </c>
      <c r="D88" s="317" t="s">
        <v>182</v>
      </c>
      <c r="E88" s="317" t="s">
        <v>210</v>
      </c>
      <c r="F88" s="317" t="s">
        <v>281</v>
      </c>
      <c r="G88" s="317" t="s">
        <v>212</v>
      </c>
      <c r="H88" s="317" t="s">
        <v>364</v>
      </c>
      <c r="I88" s="339">
        <v>43228</v>
      </c>
      <c r="J88" s="340">
        <v>5000</v>
      </c>
      <c r="K88" s="372"/>
      <c r="L88" s="378"/>
      <c r="M88" s="343">
        <v>7.9</v>
      </c>
      <c r="N88" s="318">
        <f t="shared" si="2"/>
        <v>5000.0078999999996</v>
      </c>
      <c r="O88" s="344">
        <v>8</v>
      </c>
      <c r="P88" s="318">
        <f t="shared" si="7"/>
        <v>0.88975669159417592</v>
      </c>
      <c r="Q88" s="317" t="str">
        <f t="shared" si="8"/>
        <v>M-016</v>
      </c>
      <c r="R88" s="345" t="s">
        <v>275</v>
      </c>
      <c r="U88" s="8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V88" s="166"/>
      <c r="AW88" s="166"/>
      <c r="AX88" s="166"/>
    </row>
    <row r="89" spans="2:50" ht="30" customHeight="1" x14ac:dyDescent="0.2">
      <c r="B89" s="179"/>
      <c r="U89" s="8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V89" s="166"/>
      <c r="AW89" s="166"/>
      <c r="AX89" s="166"/>
    </row>
    <row r="90" spans="2:50" ht="30" customHeight="1" x14ac:dyDescent="0.2">
      <c r="B90" s="179"/>
      <c r="U90" s="8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V90" s="166"/>
      <c r="AW90" s="166"/>
      <c r="AX90" s="166"/>
    </row>
    <row r="91" spans="2:50" ht="30" customHeight="1" x14ac:dyDescent="0.2">
      <c r="O91" s="86"/>
      <c r="P91" s="86"/>
      <c r="Q91" s="86"/>
      <c r="R91" s="86"/>
      <c r="S91" s="86"/>
      <c r="T91" s="86"/>
      <c r="U91" s="8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V91" s="166"/>
      <c r="AW91" s="166"/>
      <c r="AX91" s="166"/>
    </row>
    <row r="92" spans="2:50" ht="30" customHeight="1" x14ac:dyDescent="0.2">
      <c r="O92" s="86"/>
      <c r="P92" s="86"/>
      <c r="Q92" s="86"/>
      <c r="R92" s="86"/>
      <c r="S92" s="86"/>
      <c r="T92" s="86"/>
      <c r="U92" s="8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V92" s="166"/>
      <c r="AW92" s="166"/>
      <c r="AX92" s="166"/>
    </row>
    <row r="93" spans="2:50" ht="30" customHeight="1" x14ac:dyDescent="0.2">
      <c r="O93" s="86"/>
      <c r="P93" s="86"/>
      <c r="Q93" s="86"/>
      <c r="R93" s="86"/>
      <c r="S93" s="86"/>
      <c r="T93" s="86"/>
      <c r="U93" s="8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V93" s="166"/>
      <c r="AW93" s="166"/>
      <c r="AX93" s="166"/>
    </row>
    <row r="94" spans="2:50" ht="30" customHeight="1" x14ac:dyDescent="0.2">
      <c r="O94" s="86"/>
      <c r="P94" s="86"/>
      <c r="Q94" s="86"/>
      <c r="R94" s="86"/>
      <c r="S94" s="86"/>
      <c r="T94" s="86"/>
      <c r="U94" s="8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V94" s="166"/>
      <c r="AW94" s="166"/>
      <c r="AX94" s="166"/>
    </row>
    <row r="95" spans="2:50" ht="30" customHeight="1" thickBot="1" x14ac:dyDescent="0.25">
      <c r="O95" s="86"/>
      <c r="P95" s="86"/>
      <c r="Q95" s="86"/>
      <c r="R95" s="86"/>
      <c r="S95" s="86"/>
      <c r="T95" s="86"/>
      <c r="U95" s="8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V95" s="166"/>
      <c r="AW95" s="166"/>
      <c r="AX95" s="166"/>
    </row>
    <row r="96" spans="2:50" ht="30" customHeight="1" x14ac:dyDescent="0.2">
      <c r="B96" s="179"/>
      <c r="C96" s="1085" t="s">
        <v>377</v>
      </c>
      <c r="D96" s="1086"/>
      <c r="E96" s="1086"/>
      <c r="F96" s="1086"/>
      <c r="G96" s="1086"/>
      <c r="H96" s="1086"/>
      <c r="I96" s="1086"/>
      <c r="J96" s="1086"/>
      <c r="K96" s="1086"/>
      <c r="L96" s="1086"/>
      <c r="M96" s="1086"/>
      <c r="N96" s="1086"/>
      <c r="O96" s="1086"/>
      <c r="P96" s="1086"/>
      <c r="Q96" s="1086"/>
      <c r="R96" s="1086"/>
      <c r="S96" s="1086"/>
      <c r="T96" s="1087"/>
      <c r="U96" s="8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V96" s="166"/>
      <c r="AW96" s="166"/>
      <c r="AX96" s="166"/>
    </row>
    <row r="97" spans="1:50" ht="30" customHeight="1" thickBot="1" x14ac:dyDescent="0.25">
      <c r="B97" s="179"/>
      <c r="C97" s="1088"/>
      <c r="D97" s="1089"/>
      <c r="E97" s="1089"/>
      <c r="F97" s="1089"/>
      <c r="G97" s="1089"/>
      <c r="H97" s="1089"/>
      <c r="I97" s="1089"/>
      <c r="J97" s="1089"/>
      <c r="K97" s="1089"/>
      <c r="L97" s="1089"/>
      <c r="M97" s="1089"/>
      <c r="N97" s="1089"/>
      <c r="O97" s="1089"/>
      <c r="P97" s="1089"/>
      <c r="Q97" s="1089"/>
      <c r="R97" s="1089"/>
      <c r="S97" s="1089"/>
      <c r="T97" s="1090"/>
      <c r="U97" s="8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V97" s="166"/>
      <c r="AW97" s="166"/>
      <c r="AX97" s="166"/>
    </row>
    <row r="98" spans="1:50" ht="30" customHeight="1" thickBot="1" x14ac:dyDescent="0.25">
      <c r="B98" s="179"/>
      <c r="C98" s="1091" t="s">
        <v>425</v>
      </c>
      <c r="D98" s="1092"/>
      <c r="E98" s="1092"/>
      <c r="F98" s="1092"/>
      <c r="G98" s="1092"/>
      <c r="H98" s="1092"/>
      <c r="I98" s="1092"/>
      <c r="J98" s="1092"/>
      <c r="K98" s="1092"/>
      <c r="L98" s="1092"/>
      <c r="M98" s="1092"/>
      <c r="N98" s="1092"/>
      <c r="O98" s="1092"/>
      <c r="P98" s="1092"/>
      <c r="Q98" s="1092"/>
      <c r="R98" s="1092"/>
      <c r="S98" s="1092"/>
      <c r="T98" s="1093"/>
      <c r="U98" s="8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V98" s="166"/>
      <c r="AW98" s="166"/>
      <c r="AX98" s="166"/>
    </row>
    <row r="99" spans="1:50" ht="30" customHeight="1" x14ac:dyDescent="0.2">
      <c r="B99" s="179"/>
      <c r="C99" s="166"/>
      <c r="D99" s="948" t="s">
        <v>3</v>
      </c>
      <c r="E99" s="926" t="s">
        <v>246</v>
      </c>
      <c r="F99" s="926" t="s">
        <v>247</v>
      </c>
      <c r="G99" s="926" t="s">
        <v>248</v>
      </c>
      <c r="H99" s="926" t="s">
        <v>249</v>
      </c>
      <c r="I99" s="926" t="s">
        <v>250</v>
      </c>
      <c r="J99" s="926" t="s">
        <v>251</v>
      </c>
      <c r="K99" s="926" t="s">
        <v>252</v>
      </c>
      <c r="L99" s="928" t="s">
        <v>253</v>
      </c>
      <c r="O99" s="930" t="s">
        <v>378</v>
      </c>
      <c r="P99" s="931" t="s">
        <v>250</v>
      </c>
      <c r="Q99" s="932"/>
      <c r="R99" s="933"/>
      <c r="S99" s="934" t="s">
        <v>252</v>
      </c>
      <c r="T99" s="928" t="s">
        <v>253</v>
      </c>
      <c r="U99" s="8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V99" s="166"/>
      <c r="AW99" s="166"/>
      <c r="AX99" s="166"/>
    </row>
    <row r="100" spans="1:50" ht="30" customHeight="1" thickBot="1" x14ac:dyDescent="0.25">
      <c r="B100" s="179"/>
      <c r="C100" s="180"/>
      <c r="D100" s="949"/>
      <c r="E100" s="927"/>
      <c r="F100" s="927"/>
      <c r="G100" s="927"/>
      <c r="H100" s="927"/>
      <c r="I100" s="927"/>
      <c r="J100" s="927"/>
      <c r="K100" s="927"/>
      <c r="L100" s="929"/>
      <c r="O100" s="930"/>
      <c r="P100" s="931"/>
      <c r="Q100" s="932"/>
      <c r="R100" s="933"/>
      <c r="S100" s="935"/>
      <c r="T100" s="929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V100" s="166"/>
      <c r="AW100" s="166"/>
      <c r="AX100" s="166"/>
    </row>
    <row r="101" spans="1:50" ht="30" customHeight="1" thickBot="1" x14ac:dyDescent="0.25">
      <c r="A101" s="181"/>
      <c r="B101" s="182"/>
      <c r="C101" s="183"/>
      <c r="D101" s="183"/>
      <c r="E101" s="183"/>
      <c r="F101" s="183"/>
      <c r="G101" s="183"/>
      <c r="H101" s="183"/>
      <c r="I101" s="184"/>
      <c r="J101" s="184"/>
      <c r="K101" s="184"/>
      <c r="L101" s="184"/>
      <c r="O101" s="185"/>
      <c r="P101" s="185"/>
      <c r="Q101" s="185"/>
      <c r="R101" s="185"/>
      <c r="S101" s="186"/>
      <c r="T101" s="187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V101" s="166"/>
      <c r="AW101" s="166"/>
      <c r="AX101" s="166"/>
    </row>
    <row r="102" spans="1:50" ht="30" customHeight="1" x14ac:dyDescent="0.2">
      <c r="A102" s="875" t="s">
        <v>320</v>
      </c>
      <c r="B102" s="916"/>
      <c r="C102" s="881" t="s">
        <v>324</v>
      </c>
      <c r="D102" s="1050" t="s">
        <v>254</v>
      </c>
      <c r="E102" s="1047" t="s">
        <v>296</v>
      </c>
      <c r="F102" s="288">
        <v>15.3</v>
      </c>
      <c r="G102" s="283">
        <v>0.1</v>
      </c>
      <c r="H102" s="284">
        <v>-0.1</v>
      </c>
      <c r="I102" s="602">
        <v>0.2</v>
      </c>
      <c r="J102" s="1063">
        <v>2</v>
      </c>
      <c r="K102" s="1060">
        <v>43258</v>
      </c>
      <c r="L102" s="1053" t="s">
        <v>367</v>
      </c>
      <c r="O102" s="281"/>
      <c r="P102" s="192" t="s">
        <v>317</v>
      </c>
      <c r="Q102" s="663" t="s">
        <v>318</v>
      </c>
      <c r="R102" s="663" t="s">
        <v>319</v>
      </c>
      <c r="S102" s="910" t="s">
        <v>402</v>
      </c>
      <c r="T102" s="911" t="s">
        <v>403</v>
      </c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V102" s="166"/>
      <c r="AW102" s="166"/>
      <c r="AX102" s="166"/>
    </row>
    <row r="103" spans="1:50" ht="30" customHeight="1" x14ac:dyDescent="0.2">
      <c r="A103" s="917"/>
      <c r="B103" s="918"/>
      <c r="C103" s="882"/>
      <c r="D103" s="1051"/>
      <c r="E103" s="1048"/>
      <c r="F103" s="289">
        <v>24.9</v>
      </c>
      <c r="G103" s="572">
        <v>0.1</v>
      </c>
      <c r="H103" s="286">
        <v>0</v>
      </c>
      <c r="I103" s="603">
        <v>0.2</v>
      </c>
      <c r="J103" s="1045"/>
      <c r="K103" s="1061"/>
      <c r="L103" s="1054"/>
      <c r="O103" s="846" t="s">
        <v>343</v>
      </c>
      <c r="P103" s="293">
        <f>MAX(I102:I104)</f>
        <v>0.2</v>
      </c>
      <c r="Q103" s="293">
        <f>MAX(I105:I107)</f>
        <v>1.7</v>
      </c>
      <c r="R103" s="293">
        <f>MAX(I108:I110)</f>
        <v>0.19</v>
      </c>
      <c r="S103" s="841"/>
      <c r="T103" s="844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V103" s="166"/>
      <c r="AW103" s="166"/>
      <c r="AX103" s="166"/>
    </row>
    <row r="104" spans="1:50" ht="30" customHeight="1" thickBot="1" x14ac:dyDescent="0.25">
      <c r="A104" s="919"/>
      <c r="B104" s="920"/>
      <c r="C104" s="882"/>
      <c r="D104" s="1051"/>
      <c r="E104" s="1048"/>
      <c r="F104" s="291">
        <v>29.7</v>
      </c>
      <c r="G104" s="573">
        <v>0.1</v>
      </c>
      <c r="H104" s="604">
        <v>0</v>
      </c>
      <c r="I104" s="605">
        <v>0.2</v>
      </c>
      <c r="J104" s="1064"/>
      <c r="K104" s="1062"/>
      <c r="L104" s="1055"/>
      <c r="O104" s="847"/>
      <c r="P104" s="200"/>
      <c r="Q104" s="201"/>
      <c r="R104" s="201"/>
      <c r="S104" s="842"/>
      <c r="T104" s="845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V104" s="166"/>
      <c r="AW104" s="166"/>
      <c r="AX104" s="166"/>
    </row>
    <row r="105" spans="1:50" ht="30" customHeight="1" x14ac:dyDescent="0.2">
      <c r="A105" s="863" t="s">
        <v>321</v>
      </c>
      <c r="B105" s="864"/>
      <c r="C105" s="882"/>
      <c r="D105" s="1051"/>
      <c r="E105" s="1048"/>
      <c r="F105" s="288">
        <v>33.1</v>
      </c>
      <c r="G105" s="283">
        <v>0.1</v>
      </c>
      <c r="H105" s="283">
        <v>-3.1</v>
      </c>
      <c r="I105" s="606">
        <v>1.7</v>
      </c>
      <c r="J105" s="1044">
        <v>2</v>
      </c>
      <c r="K105" s="1065">
        <v>43264</v>
      </c>
      <c r="L105" s="1056" t="s">
        <v>368</v>
      </c>
      <c r="O105" s="86"/>
      <c r="P105" s="86"/>
      <c r="Q105" s="86"/>
      <c r="R105" s="86"/>
      <c r="S105" s="86"/>
      <c r="T105" s="8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V105" s="166"/>
      <c r="AW105" s="166"/>
      <c r="AX105" s="166"/>
    </row>
    <row r="106" spans="1:50" ht="30" customHeight="1" x14ac:dyDescent="0.2">
      <c r="A106" s="865"/>
      <c r="B106" s="866"/>
      <c r="C106" s="882"/>
      <c r="D106" s="1051"/>
      <c r="E106" s="1048"/>
      <c r="F106" s="290">
        <v>51</v>
      </c>
      <c r="G106" s="572">
        <v>0.1</v>
      </c>
      <c r="H106" s="287">
        <v>-1</v>
      </c>
      <c r="I106" s="603">
        <v>1.7</v>
      </c>
      <c r="J106" s="1045"/>
      <c r="K106" s="1061"/>
      <c r="L106" s="1054"/>
      <c r="O106" s="86"/>
      <c r="P106" s="86"/>
      <c r="Q106" s="86"/>
      <c r="R106" s="86"/>
      <c r="S106" s="86"/>
      <c r="T106" s="8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V106" s="166"/>
      <c r="AW106" s="166"/>
      <c r="AX106" s="166"/>
    </row>
    <row r="107" spans="1:50" ht="30" customHeight="1" thickBot="1" x14ac:dyDescent="0.25">
      <c r="A107" s="867"/>
      <c r="B107" s="868"/>
      <c r="C107" s="882"/>
      <c r="D107" s="1051"/>
      <c r="E107" s="1048"/>
      <c r="F107" s="297">
        <v>77.2</v>
      </c>
      <c r="G107" s="573">
        <v>0.1</v>
      </c>
      <c r="H107" s="292">
        <v>2.8</v>
      </c>
      <c r="I107" s="605">
        <v>1.7</v>
      </c>
      <c r="J107" s="1064"/>
      <c r="K107" s="1062"/>
      <c r="L107" s="1055"/>
      <c r="O107" s="86"/>
      <c r="P107" s="86"/>
      <c r="Q107" s="86"/>
      <c r="R107" s="86"/>
      <c r="S107" s="8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V107" s="166"/>
      <c r="AW107" s="166"/>
      <c r="AX107" s="166"/>
    </row>
    <row r="108" spans="1:50" ht="30" customHeight="1" x14ac:dyDescent="0.2">
      <c r="A108" s="865" t="s">
        <v>379</v>
      </c>
      <c r="B108" s="866"/>
      <c r="C108" s="882"/>
      <c r="D108" s="1051"/>
      <c r="E108" s="1048"/>
      <c r="F108" s="288">
        <v>698.3</v>
      </c>
      <c r="G108" s="283">
        <v>0.1</v>
      </c>
      <c r="H108" s="283">
        <v>-0.92</v>
      </c>
      <c r="I108" s="606">
        <v>7.5999999999999998E-2</v>
      </c>
      <c r="J108" s="1044">
        <v>2</v>
      </c>
      <c r="K108" s="1065">
        <v>43333</v>
      </c>
      <c r="L108" s="1057" t="s">
        <v>401</v>
      </c>
      <c r="O108" s="86"/>
      <c r="P108" s="86"/>
      <c r="Q108" s="86"/>
      <c r="R108" s="86"/>
      <c r="S108" s="8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V108" s="166"/>
      <c r="AW108" s="166"/>
      <c r="AX108" s="166"/>
    </row>
    <row r="109" spans="1:50" ht="30" customHeight="1" x14ac:dyDescent="0.2">
      <c r="A109" s="865"/>
      <c r="B109" s="866"/>
      <c r="C109" s="882"/>
      <c r="D109" s="1051"/>
      <c r="E109" s="1048"/>
      <c r="F109" s="289">
        <v>752.6</v>
      </c>
      <c r="G109" s="285">
        <v>0.1</v>
      </c>
      <c r="H109" s="285">
        <v>-0.89</v>
      </c>
      <c r="I109" s="603">
        <v>7.8E-2</v>
      </c>
      <c r="J109" s="1045"/>
      <c r="K109" s="1061"/>
      <c r="L109" s="1058"/>
      <c r="O109" s="86"/>
      <c r="P109" s="86"/>
      <c r="Q109" s="86"/>
      <c r="R109" s="86"/>
      <c r="S109" s="8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V109" s="166"/>
      <c r="AW109" s="166"/>
      <c r="AX109" s="166"/>
    </row>
    <row r="110" spans="1:50" ht="30" customHeight="1" thickBot="1" x14ac:dyDescent="0.25">
      <c r="A110" s="867"/>
      <c r="B110" s="868"/>
      <c r="C110" s="883"/>
      <c r="D110" s="1052"/>
      <c r="E110" s="1049"/>
      <c r="F110" s="291">
        <v>798.4</v>
      </c>
      <c r="G110" s="292">
        <v>0.1</v>
      </c>
      <c r="H110" s="292">
        <v>-0.79</v>
      </c>
      <c r="I110" s="605">
        <v>0.19</v>
      </c>
      <c r="J110" s="1046"/>
      <c r="K110" s="1066"/>
      <c r="L110" s="1059"/>
      <c r="O110" s="86"/>
      <c r="P110" s="86"/>
      <c r="Q110" s="86"/>
      <c r="R110" s="86"/>
      <c r="S110" s="8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V110" s="166"/>
      <c r="AW110" s="166"/>
      <c r="AX110" s="166"/>
    </row>
    <row r="111" spans="1:50" ht="30" customHeight="1" thickBot="1" x14ac:dyDescent="0.25">
      <c r="A111" s="205"/>
      <c r="B111" s="205"/>
      <c r="C111" s="206"/>
      <c r="D111" s="207"/>
      <c r="E111" s="208"/>
      <c r="F111" s="209"/>
      <c r="G111" s="206"/>
      <c r="H111" s="206"/>
      <c r="I111" s="206"/>
      <c r="J111" s="206"/>
      <c r="K111" s="210"/>
      <c r="L111" s="206"/>
      <c r="O111" s="86"/>
      <c r="P111" s="86"/>
      <c r="Q111" s="86"/>
      <c r="R111" s="86"/>
      <c r="S111" s="86"/>
      <c r="U111" s="8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</row>
    <row r="112" spans="1:50" ht="30" customHeight="1" thickBot="1" x14ac:dyDescent="0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O112" s="86"/>
      <c r="P112" s="86"/>
      <c r="Q112" s="86"/>
      <c r="R112" s="86"/>
      <c r="S112" s="86"/>
      <c r="U112" s="8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</row>
    <row r="113" spans="1:50" ht="30" customHeight="1" x14ac:dyDescent="0.2">
      <c r="A113" s="896" t="s">
        <v>320</v>
      </c>
      <c r="B113" s="897"/>
      <c r="C113" s="881" t="s">
        <v>328</v>
      </c>
      <c r="D113" s="902" t="s">
        <v>254</v>
      </c>
      <c r="E113" s="1047">
        <v>19506160802033</v>
      </c>
      <c r="F113" s="294">
        <v>15.4</v>
      </c>
      <c r="G113" s="283">
        <v>0.1</v>
      </c>
      <c r="H113" s="283">
        <v>-0.2</v>
      </c>
      <c r="I113" s="606">
        <v>0.2</v>
      </c>
      <c r="J113" s="1067">
        <v>2</v>
      </c>
      <c r="K113" s="1068">
        <v>43258</v>
      </c>
      <c r="L113" s="1072" t="s">
        <v>369</v>
      </c>
      <c r="O113" s="211"/>
      <c r="P113" s="212" t="s">
        <v>317</v>
      </c>
      <c r="Q113" s="675" t="s">
        <v>318</v>
      </c>
      <c r="R113" s="675" t="s">
        <v>319</v>
      </c>
      <c r="S113" s="840" t="s">
        <v>405</v>
      </c>
      <c r="T113" s="843" t="s">
        <v>406</v>
      </c>
      <c r="U113" s="8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</row>
    <row r="114" spans="1:50" ht="30" customHeight="1" x14ac:dyDescent="0.2">
      <c r="A114" s="898"/>
      <c r="B114" s="899"/>
      <c r="C114" s="882"/>
      <c r="D114" s="853"/>
      <c r="E114" s="1048"/>
      <c r="F114" s="289">
        <v>24.8</v>
      </c>
      <c r="G114" s="285">
        <v>0.1</v>
      </c>
      <c r="H114" s="285">
        <v>0.1</v>
      </c>
      <c r="I114" s="603">
        <v>0.3</v>
      </c>
      <c r="J114" s="1039"/>
      <c r="K114" s="1041"/>
      <c r="L114" s="1043"/>
      <c r="O114" s="846" t="s">
        <v>316</v>
      </c>
      <c r="P114" s="293">
        <f>MAX(I113:I115)</f>
        <v>0.4</v>
      </c>
      <c r="Q114" s="299">
        <f>MAX(I116:I118)</f>
        <v>1.7</v>
      </c>
      <c r="R114" s="300">
        <f>MAX(I119:I121)</f>
        <v>0.18</v>
      </c>
      <c r="S114" s="841"/>
      <c r="T114" s="844"/>
      <c r="U114" s="8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</row>
    <row r="115" spans="1:50" ht="30" customHeight="1" thickBot="1" x14ac:dyDescent="0.25">
      <c r="A115" s="900"/>
      <c r="B115" s="901"/>
      <c r="C115" s="882"/>
      <c r="D115" s="853"/>
      <c r="E115" s="1048"/>
      <c r="F115" s="297">
        <v>34.4</v>
      </c>
      <c r="G115" s="292">
        <v>0.1</v>
      </c>
      <c r="H115" s="292">
        <v>0.1</v>
      </c>
      <c r="I115" s="605">
        <v>0.4</v>
      </c>
      <c r="J115" s="1039"/>
      <c r="K115" s="1041"/>
      <c r="L115" s="1043"/>
      <c r="O115" s="847"/>
      <c r="P115" s="200"/>
      <c r="Q115" s="201"/>
      <c r="R115" s="201"/>
      <c r="S115" s="842"/>
      <c r="T115" s="845"/>
      <c r="U115" s="8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</row>
    <row r="116" spans="1:50" ht="30" customHeight="1" x14ac:dyDescent="0.2">
      <c r="A116" s="863" t="s">
        <v>321</v>
      </c>
      <c r="B116" s="864"/>
      <c r="C116" s="882"/>
      <c r="D116" s="853"/>
      <c r="E116" s="1048"/>
      <c r="F116" s="288">
        <v>32.5</v>
      </c>
      <c r="G116" s="607">
        <v>0.1</v>
      </c>
      <c r="H116" s="607">
        <v>-2.5</v>
      </c>
      <c r="I116" s="610">
        <v>1.7</v>
      </c>
      <c r="J116" s="1038">
        <v>2</v>
      </c>
      <c r="K116" s="1040">
        <v>43264</v>
      </c>
      <c r="L116" s="1042" t="s">
        <v>370</v>
      </c>
      <c r="O116" s="86"/>
      <c r="P116" s="86"/>
      <c r="Q116" s="86"/>
      <c r="R116" s="86"/>
      <c r="U116" s="8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</row>
    <row r="117" spans="1:50" ht="30" customHeight="1" x14ac:dyDescent="0.2">
      <c r="A117" s="865"/>
      <c r="B117" s="866"/>
      <c r="C117" s="882"/>
      <c r="D117" s="853"/>
      <c r="E117" s="1048"/>
      <c r="F117" s="289">
        <v>50.6</v>
      </c>
      <c r="G117" s="295">
        <v>0.1</v>
      </c>
      <c r="H117" s="295">
        <v>-0.6</v>
      </c>
      <c r="I117" s="611">
        <v>1.7</v>
      </c>
      <c r="J117" s="1039"/>
      <c r="K117" s="1041"/>
      <c r="L117" s="1043"/>
      <c r="O117" s="86"/>
      <c r="P117" s="86"/>
      <c r="Q117" s="86"/>
      <c r="R117" s="86"/>
      <c r="U117" s="8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</row>
    <row r="118" spans="1:50" ht="30" customHeight="1" thickBot="1" x14ac:dyDescent="0.25">
      <c r="A118" s="867"/>
      <c r="B118" s="868"/>
      <c r="C118" s="882"/>
      <c r="D118" s="853"/>
      <c r="E118" s="1048"/>
      <c r="F118" s="297">
        <v>77.099999999999994</v>
      </c>
      <c r="G118" s="298">
        <v>0.1</v>
      </c>
      <c r="H118" s="298">
        <v>2.9</v>
      </c>
      <c r="I118" s="612">
        <v>1.7</v>
      </c>
      <c r="J118" s="1039"/>
      <c r="K118" s="1041"/>
      <c r="L118" s="1043"/>
      <c r="O118" s="86"/>
      <c r="P118" s="86"/>
      <c r="Q118" s="86"/>
      <c r="R118" s="86"/>
      <c r="U118" s="86"/>
      <c r="V118" s="8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</row>
    <row r="119" spans="1:50" ht="30" customHeight="1" x14ac:dyDescent="0.2">
      <c r="A119" s="863" t="s">
        <v>379</v>
      </c>
      <c r="B119" s="864"/>
      <c r="C119" s="882"/>
      <c r="D119" s="853"/>
      <c r="E119" s="1048"/>
      <c r="F119" s="294">
        <v>698.3</v>
      </c>
      <c r="G119" s="607">
        <v>0.1</v>
      </c>
      <c r="H119" s="608">
        <v>-0.82</v>
      </c>
      <c r="I119" s="609">
        <v>7.6999999999999999E-2</v>
      </c>
      <c r="J119" s="1038">
        <v>2</v>
      </c>
      <c r="K119" s="1040">
        <v>43333</v>
      </c>
      <c r="L119" s="1083" t="s">
        <v>404</v>
      </c>
      <c r="O119" s="86"/>
      <c r="P119" s="86"/>
      <c r="Q119" s="86"/>
      <c r="R119" s="86"/>
      <c r="T119" s="218"/>
      <c r="U119" s="86"/>
      <c r="V119" s="8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</row>
    <row r="120" spans="1:50" ht="30" customHeight="1" x14ac:dyDescent="0.2">
      <c r="A120" s="865"/>
      <c r="B120" s="866"/>
      <c r="C120" s="882"/>
      <c r="D120" s="853"/>
      <c r="E120" s="1048"/>
      <c r="F120" s="289">
        <v>752.7</v>
      </c>
      <c r="G120" s="295">
        <v>0.1</v>
      </c>
      <c r="H120" s="296">
        <v>-0.79</v>
      </c>
      <c r="I120" s="665">
        <v>7.8E-2</v>
      </c>
      <c r="J120" s="1039"/>
      <c r="K120" s="1041"/>
      <c r="L120" s="1043"/>
      <c r="O120" s="86"/>
      <c r="P120" s="86"/>
      <c r="Q120" s="86"/>
      <c r="R120" s="86"/>
      <c r="T120" s="164"/>
      <c r="U120" s="86"/>
      <c r="V120" s="86"/>
    </row>
    <row r="121" spans="1:50" ht="30" customHeight="1" thickBot="1" x14ac:dyDescent="0.25">
      <c r="A121" s="867"/>
      <c r="B121" s="868"/>
      <c r="C121" s="883"/>
      <c r="D121" s="854"/>
      <c r="E121" s="1049"/>
      <c r="F121" s="297">
        <v>798.5</v>
      </c>
      <c r="G121" s="298">
        <v>0.1</v>
      </c>
      <c r="H121" s="597">
        <v>-0.53</v>
      </c>
      <c r="I121" s="666">
        <v>0.18</v>
      </c>
      <c r="J121" s="1070"/>
      <c r="K121" s="1071"/>
      <c r="L121" s="1076"/>
      <c r="O121" s="86"/>
      <c r="P121" s="86"/>
      <c r="Q121" s="86"/>
      <c r="R121" s="86"/>
      <c r="T121" s="164"/>
      <c r="U121" s="86"/>
      <c r="V121" s="86"/>
    </row>
    <row r="122" spans="1:50" ht="30" customHeight="1" thickBot="1" x14ac:dyDescent="0.25">
      <c r="A122" s="220"/>
      <c r="B122" s="221"/>
      <c r="C122" s="138"/>
      <c r="D122" s="222"/>
      <c r="E122" s="223"/>
      <c r="F122" s="138"/>
      <c r="G122" s="138"/>
      <c r="H122" s="138"/>
      <c r="I122" s="138"/>
      <c r="J122" s="138"/>
      <c r="K122" s="224"/>
      <c r="L122" s="225"/>
      <c r="O122" s="86"/>
      <c r="P122" s="86"/>
      <c r="Q122" s="86"/>
      <c r="R122" s="86"/>
      <c r="T122" s="164"/>
      <c r="U122" s="86"/>
      <c r="V122" s="86"/>
    </row>
    <row r="123" spans="1:50" ht="30" customHeight="1" thickBot="1" x14ac:dyDescent="0.25">
      <c r="A123" s="226"/>
      <c r="B123" s="185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O123" s="86"/>
      <c r="P123" s="86"/>
      <c r="Q123" s="86"/>
      <c r="R123" s="86"/>
      <c r="T123" s="164"/>
      <c r="U123" s="86"/>
      <c r="V123" s="86"/>
    </row>
    <row r="124" spans="1:50" ht="30" customHeight="1" x14ac:dyDescent="0.2">
      <c r="A124" s="875" t="s">
        <v>320</v>
      </c>
      <c r="B124" s="876"/>
      <c r="C124" s="881" t="s">
        <v>329</v>
      </c>
      <c r="D124" s="849" t="s">
        <v>254</v>
      </c>
      <c r="E124" s="1047">
        <v>19406160802033</v>
      </c>
      <c r="F124" s="294">
        <v>15.3</v>
      </c>
      <c r="G124" s="283">
        <v>0.1</v>
      </c>
      <c r="H124" s="284">
        <v>0</v>
      </c>
      <c r="I124" s="613">
        <v>0.2</v>
      </c>
      <c r="J124" s="1067">
        <v>2</v>
      </c>
      <c r="K124" s="1068">
        <v>43266</v>
      </c>
      <c r="L124" s="1072" t="s">
        <v>371</v>
      </c>
      <c r="O124" s="211"/>
      <c r="P124" s="212" t="s">
        <v>317</v>
      </c>
      <c r="Q124" s="675" t="s">
        <v>318</v>
      </c>
      <c r="R124" s="675" t="s">
        <v>319</v>
      </c>
      <c r="S124" s="840" t="s">
        <v>408</v>
      </c>
      <c r="T124" s="843" t="s">
        <v>409</v>
      </c>
      <c r="U124" s="86"/>
      <c r="V124" s="86"/>
    </row>
    <row r="125" spans="1:50" ht="30" customHeight="1" x14ac:dyDescent="0.2">
      <c r="A125" s="877"/>
      <c r="B125" s="878"/>
      <c r="C125" s="882"/>
      <c r="D125" s="851"/>
      <c r="E125" s="1048"/>
      <c r="F125" s="289">
        <v>24.8</v>
      </c>
      <c r="G125" s="285">
        <v>0.1</v>
      </c>
      <c r="H125" s="287">
        <v>0</v>
      </c>
      <c r="I125" s="614">
        <v>0.2</v>
      </c>
      <c r="J125" s="1039"/>
      <c r="K125" s="1041"/>
      <c r="L125" s="1043"/>
      <c r="O125" s="846" t="s">
        <v>344</v>
      </c>
      <c r="P125" s="293">
        <f>MAX(I124:I126)</f>
        <v>0.4</v>
      </c>
      <c r="Q125" s="664">
        <f>MAX(I127:I129)</f>
        <v>1.7</v>
      </c>
      <c r="R125" s="664">
        <f>MAX(I130:I132)</f>
        <v>0.11</v>
      </c>
      <c r="S125" s="841"/>
      <c r="T125" s="844"/>
      <c r="U125" s="86"/>
      <c r="V125" s="86"/>
    </row>
    <row r="126" spans="1:50" ht="30" customHeight="1" thickBot="1" x14ac:dyDescent="0.25">
      <c r="A126" s="879"/>
      <c r="B126" s="880"/>
      <c r="C126" s="882"/>
      <c r="D126" s="851"/>
      <c r="E126" s="1048"/>
      <c r="F126" s="297">
        <v>34.4</v>
      </c>
      <c r="G126" s="292">
        <v>0.1</v>
      </c>
      <c r="H126" s="292">
        <v>-0.1</v>
      </c>
      <c r="I126" s="605">
        <v>0.4</v>
      </c>
      <c r="J126" s="1039"/>
      <c r="K126" s="1041"/>
      <c r="L126" s="1043"/>
      <c r="O126" s="847"/>
      <c r="P126" s="200"/>
      <c r="Q126" s="201"/>
      <c r="R126" s="201"/>
      <c r="S126" s="842"/>
      <c r="T126" s="845"/>
      <c r="U126" s="86"/>
      <c r="V126" s="86"/>
    </row>
    <row r="127" spans="1:50" ht="30" customHeight="1" x14ac:dyDescent="0.2">
      <c r="A127" s="863" t="s">
        <v>321</v>
      </c>
      <c r="B127" s="884"/>
      <c r="C127" s="882"/>
      <c r="D127" s="851"/>
      <c r="E127" s="1048"/>
      <c r="F127" s="288">
        <v>32.5</v>
      </c>
      <c r="G127" s="283">
        <v>0.1</v>
      </c>
      <c r="H127" s="283">
        <v>-2.5</v>
      </c>
      <c r="I127" s="606">
        <v>1.7</v>
      </c>
      <c r="J127" s="1069">
        <v>2</v>
      </c>
      <c r="K127" s="1040">
        <v>43266</v>
      </c>
      <c r="L127" s="1042" t="s">
        <v>372</v>
      </c>
      <c r="O127" s="86"/>
      <c r="P127" s="86"/>
      <c r="Q127" s="86"/>
      <c r="R127" s="86"/>
      <c r="T127" s="164"/>
      <c r="U127" s="86"/>
      <c r="V127" s="86"/>
    </row>
    <row r="128" spans="1:50" ht="30" customHeight="1" x14ac:dyDescent="0.2">
      <c r="A128" s="865"/>
      <c r="B128" s="885"/>
      <c r="C128" s="882"/>
      <c r="D128" s="851"/>
      <c r="E128" s="1048"/>
      <c r="F128" s="289">
        <v>50.8</v>
      </c>
      <c r="G128" s="285">
        <v>0.1</v>
      </c>
      <c r="H128" s="285">
        <v>-0.8</v>
      </c>
      <c r="I128" s="603">
        <v>1.7</v>
      </c>
      <c r="J128" s="1039">
        <v>2</v>
      </c>
      <c r="K128" s="1041"/>
      <c r="L128" s="1043"/>
      <c r="O128" s="86"/>
      <c r="P128" s="86"/>
      <c r="Q128" s="86"/>
      <c r="R128" s="86"/>
      <c r="T128" s="164"/>
      <c r="U128" s="86"/>
      <c r="V128" s="86"/>
    </row>
    <row r="129" spans="1:22" ht="30" customHeight="1" thickBot="1" x14ac:dyDescent="0.25">
      <c r="A129" s="867"/>
      <c r="B129" s="886"/>
      <c r="C129" s="882"/>
      <c r="D129" s="851"/>
      <c r="E129" s="1048"/>
      <c r="F129" s="297">
        <v>78.2</v>
      </c>
      <c r="G129" s="292">
        <v>0.1</v>
      </c>
      <c r="H129" s="292">
        <v>1.8</v>
      </c>
      <c r="I129" s="605">
        <v>1.7</v>
      </c>
      <c r="J129" s="1039"/>
      <c r="K129" s="1041"/>
      <c r="L129" s="1043"/>
      <c r="O129" s="86"/>
      <c r="P129" s="86"/>
      <c r="Q129" s="86"/>
      <c r="R129" s="86"/>
      <c r="T129" s="164"/>
      <c r="U129" s="86"/>
      <c r="V129" s="86"/>
    </row>
    <row r="130" spans="1:22" ht="30" customHeight="1" x14ac:dyDescent="0.2">
      <c r="A130" s="863" t="s">
        <v>379</v>
      </c>
      <c r="B130" s="884"/>
      <c r="C130" s="882"/>
      <c r="D130" s="851"/>
      <c r="E130" s="1048"/>
      <c r="F130" s="294">
        <v>698.4</v>
      </c>
      <c r="G130" s="283">
        <v>0.1</v>
      </c>
      <c r="H130" s="615">
        <v>-0.83</v>
      </c>
      <c r="I130" s="668">
        <v>6.5000000000000002E-2</v>
      </c>
      <c r="J130" s="1069">
        <v>2</v>
      </c>
      <c r="K130" s="1040">
        <v>43333</v>
      </c>
      <c r="L130" s="1075" t="s">
        <v>407</v>
      </c>
      <c r="O130" s="86"/>
      <c r="P130" s="86"/>
      <c r="Q130" s="86"/>
      <c r="R130" s="86"/>
      <c r="T130" s="164"/>
      <c r="U130" s="86"/>
      <c r="V130" s="86"/>
    </row>
    <row r="131" spans="1:22" ht="30" customHeight="1" x14ac:dyDescent="0.2">
      <c r="A131" s="865"/>
      <c r="B131" s="885"/>
      <c r="C131" s="882"/>
      <c r="D131" s="851"/>
      <c r="E131" s="1048"/>
      <c r="F131" s="289">
        <v>752.8</v>
      </c>
      <c r="G131" s="285">
        <v>0.1</v>
      </c>
      <c r="H131" s="302">
        <v>-0.69</v>
      </c>
      <c r="I131" s="665">
        <v>7.8E-2</v>
      </c>
      <c r="J131" s="1039">
        <v>2</v>
      </c>
      <c r="K131" s="1041">
        <v>42671</v>
      </c>
      <c r="L131" s="1043" t="s">
        <v>292</v>
      </c>
      <c r="O131" s="86"/>
      <c r="P131" s="86"/>
      <c r="Q131" s="86"/>
      <c r="R131" s="86"/>
      <c r="T131" s="164"/>
      <c r="U131" s="86"/>
      <c r="V131" s="86"/>
    </row>
    <row r="132" spans="1:22" ht="30" customHeight="1" thickBot="1" x14ac:dyDescent="0.25">
      <c r="A132" s="867"/>
      <c r="B132" s="886"/>
      <c r="C132" s="883"/>
      <c r="D132" s="855"/>
      <c r="E132" s="1049"/>
      <c r="F132" s="297">
        <v>798.4</v>
      </c>
      <c r="G132" s="292">
        <v>0.1</v>
      </c>
      <c r="H132" s="598">
        <v>-0.75</v>
      </c>
      <c r="I132" s="666">
        <v>0.11</v>
      </c>
      <c r="J132" s="1070"/>
      <c r="K132" s="1071"/>
      <c r="L132" s="1076"/>
      <c r="O132" s="86"/>
      <c r="P132" s="86"/>
      <c r="Q132" s="86"/>
      <c r="R132" s="86"/>
      <c r="T132" s="164"/>
      <c r="U132" s="86"/>
      <c r="V132" s="86"/>
    </row>
    <row r="133" spans="1:22" ht="30" customHeight="1" thickBot="1" x14ac:dyDescent="0.25">
      <c r="A133" s="181"/>
      <c r="B133" s="184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O133" s="86"/>
      <c r="P133" s="86"/>
      <c r="Q133" s="86"/>
      <c r="R133" s="86"/>
      <c r="T133" s="164"/>
      <c r="U133" s="86"/>
      <c r="V133" s="86"/>
    </row>
    <row r="134" spans="1:22" ht="30" customHeight="1" x14ac:dyDescent="0.2">
      <c r="A134" s="848" t="s">
        <v>320</v>
      </c>
      <c r="B134" s="849"/>
      <c r="C134" s="852" t="s">
        <v>332</v>
      </c>
      <c r="D134" s="849" t="s">
        <v>254</v>
      </c>
      <c r="E134" s="1047" t="s">
        <v>286</v>
      </c>
      <c r="F134" s="288">
        <v>15.3</v>
      </c>
      <c r="G134" s="283">
        <v>0.1</v>
      </c>
      <c r="H134" s="284">
        <v>-0.1</v>
      </c>
      <c r="I134" s="599">
        <v>0.2</v>
      </c>
      <c r="J134" s="1077">
        <v>2</v>
      </c>
      <c r="K134" s="1068">
        <v>43252</v>
      </c>
      <c r="L134" s="1072" t="s">
        <v>373</v>
      </c>
      <c r="O134" s="211"/>
      <c r="P134" s="212" t="s">
        <v>317</v>
      </c>
      <c r="Q134" s="675" t="s">
        <v>318</v>
      </c>
      <c r="R134" s="675" t="s">
        <v>319</v>
      </c>
      <c r="S134" s="840" t="s">
        <v>411</v>
      </c>
      <c r="T134" s="843" t="s">
        <v>412</v>
      </c>
      <c r="U134" s="86"/>
      <c r="V134" s="86"/>
    </row>
    <row r="135" spans="1:22" ht="30" customHeight="1" x14ac:dyDescent="0.2">
      <c r="A135" s="850"/>
      <c r="B135" s="851"/>
      <c r="C135" s="853"/>
      <c r="D135" s="851"/>
      <c r="E135" s="1048"/>
      <c r="F135" s="289">
        <v>24.9</v>
      </c>
      <c r="G135" s="285">
        <v>0.1</v>
      </c>
      <c r="H135" s="287">
        <v>-0.1</v>
      </c>
      <c r="I135" s="600">
        <v>0.2</v>
      </c>
      <c r="J135" s="1074"/>
      <c r="K135" s="1041"/>
      <c r="L135" s="1043"/>
      <c r="O135" s="846" t="s">
        <v>313</v>
      </c>
      <c r="P135" s="303">
        <f>MAX(I134:I136)</f>
        <v>0.3</v>
      </c>
      <c r="Q135" s="664">
        <f>MAX(I137:I139)</f>
        <v>1.7</v>
      </c>
      <c r="R135" s="664">
        <f>MAX(I140:I142)</f>
        <v>0.11</v>
      </c>
      <c r="S135" s="841"/>
      <c r="T135" s="844"/>
      <c r="U135" s="86"/>
      <c r="V135" s="86"/>
    </row>
    <row r="136" spans="1:22" ht="30" customHeight="1" thickBot="1" x14ac:dyDescent="0.25">
      <c r="A136" s="850"/>
      <c r="B136" s="851"/>
      <c r="C136" s="853"/>
      <c r="D136" s="851"/>
      <c r="E136" s="1048"/>
      <c r="F136" s="291">
        <v>29.6</v>
      </c>
      <c r="G136" s="292">
        <v>0.1</v>
      </c>
      <c r="H136" s="301">
        <v>0</v>
      </c>
      <c r="I136" s="601">
        <v>0.3</v>
      </c>
      <c r="J136" s="1074">
        <v>1.96</v>
      </c>
      <c r="K136" s="1041"/>
      <c r="L136" s="1043"/>
      <c r="O136" s="847"/>
      <c r="P136" s="200"/>
      <c r="Q136" s="201"/>
      <c r="R136" s="201"/>
      <c r="S136" s="842"/>
      <c r="T136" s="845"/>
      <c r="U136" s="86"/>
      <c r="V136" s="86"/>
    </row>
    <row r="137" spans="1:22" ht="30" customHeight="1" x14ac:dyDescent="0.2">
      <c r="A137" s="815" t="s">
        <v>321</v>
      </c>
      <c r="B137" s="816"/>
      <c r="C137" s="853"/>
      <c r="D137" s="851"/>
      <c r="E137" s="1048"/>
      <c r="F137" s="288">
        <v>33.4</v>
      </c>
      <c r="G137" s="283">
        <v>0.1</v>
      </c>
      <c r="H137" s="283">
        <v>-3.4</v>
      </c>
      <c r="I137" s="668">
        <v>1.7</v>
      </c>
      <c r="J137" s="1073">
        <v>2</v>
      </c>
      <c r="K137" s="1040">
        <v>43257</v>
      </c>
      <c r="L137" s="1042" t="s">
        <v>374</v>
      </c>
      <c r="O137" s="86"/>
      <c r="P137" s="86"/>
      <c r="Q137" s="86"/>
      <c r="R137" s="86"/>
      <c r="T137" s="164"/>
      <c r="U137" s="86"/>
      <c r="V137" s="86"/>
    </row>
    <row r="138" spans="1:22" ht="30" customHeight="1" x14ac:dyDescent="0.2">
      <c r="A138" s="815"/>
      <c r="B138" s="816"/>
      <c r="C138" s="853"/>
      <c r="D138" s="851"/>
      <c r="E138" s="1048"/>
      <c r="F138" s="289">
        <v>51.3</v>
      </c>
      <c r="G138" s="285">
        <v>0.1</v>
      </c>
      <c r="H138" s="285">
        <v>-1.3</v>
      </c>
      <c r="I138" s="665">
        <v>1.7</v>
      </c>
      <c r="J138" s="1074">
        <v>1.96</v>
      </c>
      <c r="K138" s="1041"/>
      <c r="L138" s="1043"/>
      <c r="O138" s="86"/>
      <c r="P138" s="86"/>
      <c r="Q138" s="86"/>
      <c r="R138" s="86"/>
      <c r="T138" s="164"/>
      <c r="U138" s="86"/>
      <c r="V138" s="86"/>
    </row>
    <row r="139" spans="1:22" ht="30" customHeight="1" thickBot="1" x14ac:dyDescent="0.25">
      <c r="A139" s="815"/>
      <c r="B139" s="816"/>
      <c r="C139" s="853"/>
      <c r="D139" s="851"/>
      <c r="E139" s="1048"/>
      <c r="F139" s="297">
        <v>77.400000000000006</v>
      </c>
      <c r="G139" s="292">
        <v>0.1</v>
      </c>
      <c r="H139" s="292">
        <v>2.6</v>
      </c>
      <c r="I139" s="666">
        <v>1.7</v>
      </c>
      <c r="J139" s="1074"/>
      <c r="K139" s="1041"/>
      <c r="L139" s="1043"/>
      <c r="O139" s="86"/>
      <c r="P139" s="86"/>
      <c r="Q139" s="86"/>
      <c r="R139" s="86"/>
      <c r="T139" s="164"/>
      <c r="U139" s="86"/>
      <c r="V139" s="86"/>
    </row>
    <row r="140" spans="1:22" ht="30" customHeight="1" x14ac:dyDescent="0.2">
      <c r="A140" s="815" t="s">
        <v>379</v>
      </c>
      <c r="B140" s="816"/>
      <c r="C140" s="853"/>
      <c r="D140" s="851"/>
      <c r="E140" s="1048"/>
      <c r="F140" s="288">
        <v>698.4</v>
      </c>
      <c r="G140" s="283">
        <v>0.1</v>
      </c>
      <c r="H140" s="283">
        <v>-0.83</v>
      </c>
      <c r="I140" s="668">
        <v>0.11</v>
      </c>
      <c r="J140" s="1078">
        <v>2</v>
      </c>
      <c r="K140" s="1040">
        <v>43333</v>
      </c>
      <c r="L140" s="1075" t="s">
        <v>410</v>
      </c>
      <c r="O140" s="86"/>
      <c r="P140" s="86"/>
      <c r="Q140" s="86"/>
      <c r="R140" s="86"/>
      <c r="T140" s="87"/>
    </row>
    <row r="141" spans="1:22" ht="30" customHeight="1" x14ac:dyDescent="0.2">
      <c r="A141" s="815"/>
      <c r="B141" s="816"/>
      <c r="C141" s="853"/>
      <c r="D141" s="851"/>
      <c r="E141" s="1048"/>
      <c r="F141" s="289">
        <v>752.7</v>
      </c>
      <c r="G141" s="285">
        <v>0.1</v>
      </c>
      <c r="H141" s="302">
        <v>-0.79</v>
      </c>
      <c r="I141" s="665">
        <v>7.8E-2</v>
      </c>
      <c r="J141" s="1079">
        <v>2</v>
      </c>
      <c r="K141" s="1041">
        <v>42625</v>
      </c>
      <c r="L141" s="1043" t="s">
        <v>289</v>
      </c>
      <c r="O141" s="86"/>
      <c r="P141" s="86"/>
      <c r="Q141" s="86"/>
      <c r="R141" s="86"/>
      <c r="T141" s="87"/>
    </row>
    <row r="142" spans="1:22" ht="30" customHeight="1" thickBot="1" x14ac:dyDescent="0.25">
      <c r="A142" s="817"/>
      <c r="B142" s="818"/>
      <c r="C142" s="854"/>
      <c r="D142" s="855"/>
      <c r="E142" s="1049"/>
      <c r="F142" s="297">
        <v>798.4</v>
      </c>
      <c r="G142" s="292">
        <v>0.1</v>
      </c>
      <c r="H142" s="292">
        <v>-0.74</v>
      </c>
      <c r="I142" s="666">
        <v>0.11</v>
      </c>
      <c r="J142" s="1080"/>
      <c r="K142" s="1071"/>
      <c r="L142" s="1076"/>
      <c r="O142" s="86"/>
      <c r="P142" s="86"/>
      <c r="Q142" s="86"/>
      <c r="R142" s="86"/>
      <c r="T142" s="87"/>
    </row>
    <row r="143" spans="1:22" ht="30" customHeight="1" thickBot="1" x14ac:dyDescent="0.25">
      <c r="A143" s="22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O143" s="86"/>
      <c r="P143" s="86"/>
      <c r="Q143" s="86"/>
      <c r="R143" s="86"/>
      <c r="T143" s="87"/>
    </row>
    <row r="144" spans="1:22" ht="30" customHeight="1" x14ac:dyDescent="0.2">
      <c r="A144" s="848" t="s">
        <v>320</v>
      </c>
      <c r="B144" s="849"/>
      <c r="C144" s="852" t="s">
        <v>337</v>
      </c>
      <c r="D144" s="849" t="s">
        <v>254</v>
      </c>
      <c r="E144" s="1084" t="s">
        <v>282</v>
      </c>
      <c r="F144" s="288">
        <v>15.2</v>
      </c>
      <c r="G144" s="283">
        <v>0.1</v>
      </c>
      <c r="H144" s="284">
        <v>0</v>
      </c>
      <c r="I144" s="599">
        <v>0.2</v>
      </c>
      <c r="J144" s="1067">
        <v>2</v>
      </c>
      <c r="K144" s="1068">
        <v>43252</v>
      </c>
      <c r="L144" s="1072" t="s">
        <v>375</v>
      </c>
      <c r="O144" s="211"/>
      <c r="P144" s="212" t="s">
        <v>317</v>
      </c>
      <c r="Q144" s="675" t="s">
        <v>318</v>
      </c>
      <c r="R144" s="675" t="s">
        <v>319</v>
      </c>
      <c r="S144" s="840" t="s">
        <v>414</v>
      </c>
      <c r="T144" s="843" t="s">
        <v>415</v>
      </c>
    </row>
    <row r="145" spans="1:20" ht="30" customHeight="1" x14ac:dyDescent="0.2">
      <c r="A145" s="850"/>
      <c r="B145" s="851"/>
      <c r="C145" s="853"/>
      <c r="D145" s="851"/>
      <c r="E145" s="1048"/>
      <c r="F145" s="290">
        <v>24.8</v>
      </c>
      <c r="G145" s="285">
        <v>0.1</v>
      </c>
      <c r="H145" s="287">
        <v>0</v>
      </c>
      <c r="I145" s="600">
        <v>0.2</v>
      </c>
      <c r="J145" s="1039"/>
      <c r="K145" s="1041"/>
      <c r="L145" s="1043"/>
      <c r="O145" s="846" t="s">
        <v>345</v>
      </c>
      <c r="P145" s="303">
        <f>MAX(I144:I146)</f>
        <v>0.3</v>
      </c>
      <c r="Q145" s="664">
        <f>MAX(I147:I149)</f>
        <v>1.7</v>
      </c>
      <c r="R145" s="664">
        <f>MAX(I150:I152)</f>
        <v>7.8E-2</v>
      </c>
      <c r="S145" s="841"/>
      <c r="T145" s="844"/>
    </row>
    <row r="146" spans="1:20" ht="30" customHeight="1" thickBot="1" x14ac:dyDescent="0.25">
      <c r="A146" s="850"/>
      <c r="B146" s="851"/>
      <c r="C146" s="853"/>
      <c r="D146" s="851"/>
      <c r="E146" s="1048"/>
      <c r="F146" s="291">
        <v>29.6</v>
      </c>
      <c r="G146" s="292">
        <v>0.1</v>
      </c>
      <c r="H146" s="301">
        <v>0</v>
      </c>
      <c r="I146" s="616">
        <v>0.3</v>
      </c>
      <c r="J146" s="1039"/>
      <c r="K146" s="1041"/>
      <c r="L146" s="1043"/>
      <c r="O146" s="847"/>
      <c r="P146" s="200"/>
      <c r="Q146" s="201"/>
      <c r="R146" s="201"/>
      <c r="S146" s="842"/>
      <c r="T146" s="845"/>
    </row>
    <row r="147" spans="1:20" ht="30" customHeight="1" x14ac:dyDescent="0.2">
      <c r="A147" s="815" t="s">
        <v>321</v>
      </c>
      <c r="B147" s="816"/>
      <c r="C147" s="853"/>
      <c r="D147" s="851"/>
      <c r="E147" s="1048"/>
      <c r="F147" s="288">
        <v>33.5</v>
      </c>
      <c r="G147" s="283">
        <v>0.1</v>
      </c>
      <c r="H147" s="283">
        <v>-3.5</v>
      </c>
      <c r="I147" s="668">
        <v>1.7</v>
      </c>
      <c r="J147" s="1069">
        <v>2</v>
      </c>
      <c r="K147" s="1040">
        <v>43257</v>
      </c>
      <c r="L147" s="1042" t="s">
        <v>376</v>
      </c>
      <c r="O147" s="86"/>
      <c r="P147" s="86"/>
      <c r="Q147" s="86"/>
      <c r="R147" s="86"/>
      <c r="T147" s="87"/>
    </row>
    <row r="148" spans="1:20" ht="30" customHeight="1" x14ac:dyDescent="0.2">
      <c r="A148" s="815"/>
      <c r="B148" s="816"/>
      <c r="C148" s="853"/>
      <c r="D148" s="851"/>
      <c r="E148" s="1048"/>
      <c r="F148" s="289">
        <v>51.2</v>
      </c>
      <c r="G148" s="285">
        <v>0.1</v>
      </c>
      <c r="H148" s="285">
        <v>-1.2</v>
      </c>
      <c r="I148" s="667">
        <v>1.7</v>
      </c>
      <c r="J148" s="1039"/>
      <c r="K148" s="1041"/>
      <c r="L148" s="1043"/>
      <c r="O148" s="86"/>
      <c r="P148" s="86"/>
      <c r="Q148" s="86"/>
      <c r="R148" s="86"/>
      <c r="T148" s="87"/>
    </row>
    <row r="149" spans="1:20" ht="30" customHeight="1" thickBot="1" x14ac:dyDescent="0.25">
      <c r="A149" s="815"/>
      <c r="B149" s="816"/>
      <c r="C149" s="853"/>
      <c r="D149" s="851"/>
      <c r="E149" s="1048"/>
      <c r="F149" s="297">
        <v>77.099999999999994</v>
      </c>
      <c r="G149" s="292">
        <v>0.1</v>
      </c>
      <c r="H149" s="292">
        <v>2.9</v>
      </c>
      <c r="I149" s="617">
        <v>1.7</v>
      </c>
      <c r="J149" s="1039"/>
      <c r="K149" s="1041"/>
      <c r="L149" s="1043"/>
      <c r="O149" s="86"/>
      <c r="P149" s="86"/>
      <c r="Q149" s="86"/>
      <c r="R149" s="86"/>
      <c r="T149" s="87"/>
    </row>
    <row r="150" spans="1:20" ht="30" customHeight="1" x14ac:dyDescent="0.2">
      <c r="A150" s="815" t="s">
        <v>379</v>
      </c>
      <c r="B150" s="816"/>
      <c r="C150" s="853"/>
      <c r="D150" s="851"/>
      <c r="E150" s="1048"/>
      <c r="F150" s="294">
        <v>698.3</v>
      </c>
      <c r="G150" s="283">
        <v>0.1</v>
      </c>
      <c r="H150" s="283">
        <v>-0.88</v>
      </c>
      <c r="I150" s="668">
        <v>6.5000000000000002E-2</v>
      </c>
      <c r="J150" s="1078">
        <v>1.96</v>
      </c>
      <c r="K150" s="1040">
        <v>43333</v>
      </c>
      <c r="L150" s="1075" t="s">
        <v>413</v>
      </c>
      <c r="O150" s="87"/>
      <c r="T150" s="87"/>
    </row>
    <row r="151" spans="1:20" ht="30" customHeight="1" x14ac:dyDescent="0.2">
      <c r="A151" s="815"/>
      <c r="B151" s="816"/>
      <c r="C151" s="853"/>
      <c r="D151" s="851"/>
      <c r="E151" s="1048"/>
      <c r="F151" s="289">
        <v>752.7</v>
      </c>
      <c r="G151" s="285">
        <v>0.1</v>
      </c>
      <c r="H151" s="302">
        <v>-0.79200000000000004</v>
      </c>
      <c r="I151" s="665">
        <v>7.8E-2</v>
      </c>
      <c r="J151" s="1079">
        <v>1.96</v>
      </c>
      <c r="K151" s="1041">
        <v>42586</v>
      </c>
      <c r="L151" s="1043" t="s">
        <v>284</v>
      </c>
      <c r="O151" s="87"/>
      <c r="T151" s="87"/>
    </row>
    <row r="152" spans="1:20" ht="30" customHeight="1" thickBot="1" x14ac:dyDescent="0.25">
      <c r="A152" s="817"/>
      <c r="B152" s="818"/>
      <c r="C152" s="854"/>
      <c r="D152" s="855"/>
      <c r="E152" s="1049"/>
      <c r="F152" s="297">
        <v>798.4</v>
      </c>
      <c r="G152" s="292">
        <v>0.1</v>
      </c>
      <c r="H152" s="292">
        <v>-0.77</v>
      </c>
      <c r="I152" s="666">
        <v>7.5999999999999998E-2</v>
      </c>
      <c r="J152" s="1080">
        <v>2</v>
      </c>
      <c r="K152" s="1071">
        <v>42625</v>
      </c>
      <c r="L152" s="1076" t="s">
        <v>285</v>
      </c>
      <c r="O152" s="87"/>
      <c r="T152" s="87"/>
    </row>
    <row r="153" spans="1:20" ht="30" customHeight="1" thickBot="1" x14ac:dyDescent="0.25"/>
    <row r="154" spans="1:20" ht="30" customHeight="1" thickBot="1" x14ac:dyDescent="0.25">
      <c r="A154" s="1000" t="s">
        <v>380</v>
      </c>
      <c r="B154" s="1001"/>
      <c r="C154" s="1001"/>
      <c r="D154" s="1001"/>
      <c r="E154" s="1001"/>
      <c r="F154" s="1002"/>
      <c r="H154" s="1000" t="s">
        <v>265</v>
      </c>
      <c r="I154" s="1001"/>
      <c r="J154" s="1001"/>
      <c r="K154" s="1002"/>
    </row>
    <row r="155" spans="1:20" ht="30" customHeight="1" thickBot="1" x14ac:dyDescent="0.25">
      <c r="A155" s="570" t="s">
        <v>134</v>
      </c>
      <c r="B155" s="1005" t="s">
        <v>465</v>
      </c>
      <c r="C155" s="813"/>
      <c r="D155" s="813"/>
      <c r="E155" s="813"/>
      <c r="F155" s="814"/>
      <c r="H155" s="837" t="s">
        <v>431</v>
      </c>
      <c r="I155" s="838"/>
      <c r="J155" s="838"/>
      <c r="K155" s="839"/>
    </row>
    <row r="156" spans="1:20" ht="30" customHeight="1" x14ac:dyDescent="0.2">
      <c r="A156" s="304"/>
      <c r="B156" s="1006"/>
      <c r="C156" s="1007"/>
      <c r="D156" s="1008"/>
      <c r="E156" s="1009"/>
      <c r="F156" s="571"/>
      <c r="H156" s="231">
        <v>5</v>
      </c>
      <c r="I156" s="232" t="s">
        <v>190</v>
      </c>
      <c r="J156" s="233">
        <v>8200</v>
      </c>
      <c r="K156" s="122"/>
    </row>
    <row r="157" spans="1:20" ht="30" customHeight="1" x14ac:dyDescent="0.2">
      <c r="A157" s="240" t="s">
        <v>233</v>
      </c>
      <c r="B157" s="1003" t="s">
        <v>234</v>
      </c>
      <c r="C157" s="1003"/>
      <c r="D157" s="1003" t="s">
        <v>422</v>
      </c>
      <c r="E157" s="1003"/>
      <c r="F157" s="794" t="s">
        <v>423</v>
      </c>
      <c r="H157" s="630">
        <v>7.8E-2</v>
      </c>
      <c r="I157" s="238"/>
      <c r="J157" s="631">
        <v>5.5999999999999997E-6</v>
      </c>
      <c r="K157" s="239"/>
    </row>
    <row r="158" spans="1:20" ht="30" customHeight="1" thickBot="1" x14ac:dyDescent="0.25">
      <c r="A158" s="240" t="s">
        <v>236</v>
      </c>
      <c r="B158" s="1003" t="s">
        <v>237</v>
      </c>
      <c r="C158" s="1003"/>
      <c r="D158" s="1003" t="s">
        <v>424</v>
      </c>
      <c r="E158" s="1003"/>
      <c r="F158" s="794" t="s">
        <v>423</v>
      </c>
    </row>
    <row r="159" spans="1:20" ht="42.75" customHeight="1" thickBot="1" x14ac:dyDescent="0.25">
      <c r="A159" s="248" t="s">
        <v>242</v>
      </c>
      <c r="B159" s="1004" t="s">
        <v>243</v>
      </c>
      <c r="C159" s="1004"/>
      <c r="D159" s="1004" t="s">
        <v>423</v>
      </c>
      <c r="E159" s="1004"/>
      <c r="F159" s="795" t="s">
        <v>423</v>
      </c>
      <c r="G159" s="796" t="s">
        <v>378</v>
      </c>
      <c r="H159" s="797" t="str">
        <f>D99</f>
        <v>Fabricante</v>
      </c>
      <c r="I159" s="798" t="str">
        <f>E99</f>
        <v>Identificación / Serie</v>
      </c>
      <c r="J159" s="798" t="str">
        <f>S99</f>
        <v>Fecha de Calibración</v>
      </c>
      <c r="K159" s="798" t="str">
        <f>T99</f>
        <v>Trazabilidad y numero</v>
      </c>
      <c r="L159" s="798" t="s">
        <v>317</v>
      </c>
      <c r="M159" s="798" t="s">
        <v>318</v>
      </c>
      <c r="N159" s="798" t="s">
        <v>319</v>
      </c>
      <c r="O159" s="798" t="s">
        <v>416</v>
      </c>
      <c r="P159" s="798" t="s">
        <v>417</v>
      </c>
      <c r="Q159" s="798" t="s">
        <v>418</v>
      </c>
      <c r="R159" s="798" t="s">
        <v>419</v>
      </c>
      <c r="S159" s="798" t="s">
        <v>420</v>
      </c>
      <c r="T159" s="799" t="s">
        <v>421</v>
      </c>
    </row>
    <row r="160" spans="1:20" ht="50.1" customHeight="1" thickBot="1" x14ac:dyDescent="0.25">
      <c r="G160" s="618"/>
      <c r="H160" s="619"/>
      <c r="I160" s="619"/>
      <c r="J160" s="619"/>
      <c r="K160" s="619"/>
      <c r="L160" s="619"/>
      <c r="M160" s="619"/>
      <c r="N160" s="619"/>
      <c r="O160" s="619"/>
      <c r="P160" s="620"/>
      <c r="Q160" s="620"/>
      <c r="R160" s="620"/>
      <c r="S160" s="620"/>
      <c r="T160" s="260"/>
    </row>
    <row r="161" spans="7:20" ht="50.1" customHeight="1" x14ac:dyDescent="0.2">
      <c r="G161" s="621" t="str">
        <f>O103</f>
        <v>V-002</v>
      </c>
      <c r="H161" s="320" t="str">
        <f>D102</f>
        <v>Lufft Opus 20</v>
      </c>
      <c r="I161" s="622" t="str">
        <f>E102</f>
        <v>0,23.0714.0802.024</v>
      </c>
      <c r="J161" s="623" t="str">
        <f>S102</f>
        <v>2018-06-07 / - 2018-06-13 -    2018-08-21</v>
      </c>
      <c r="K161" s="624" t="str">
        <f>T102</f>
        <v>INM  3392- 3399-2268</v>
      </c>
      <c r="L161" s="320">
        <f>P103</f>
        <v>0.2</v>
      </c>
      <c r="M161" s="320">
        <f t="shared" ref="M161:N161" si="9">Q103</f>
        <v>1.7</v>
      </c>
      <c r="N161" s="320">
        <f t="shared" si="9"/>
        <v>0.19</v>
      </c>
      <c r="O161" s="328">
        <f>SLOPE(H102:H104,F102:F104)</f>
        <v>7.4404761904761918E-3</v>
      </c>
      <c r="P161" s="328">
        <f>INTERCEPT(H102:H104,F102:F104)</f>
        <v>-0.20669642857142859</v>
      </c>
      <c r="Q161" s="328">
        <f>SLOPE(H105:H107,F105:F107)</f>
        <v>0.13461577552970191</v>
      </c>
      <c r="R161" s="328">
        <f>INTERCEPT(H105:H107,F105:F107)</f>
        <v>-7.6711748643136408</v>
      </c>
      <c r="S161" s="328">
        <f>SLOPE(H108:H110,F108:F110)</f>
        <v>1.2758410581608821E-3</v>
      </c>
      <c r="T161" s="625">
        <f>INTERCEPT(H108:H110,F108:F110)</f>
        <v>-1.8232497640404244</v>
      </c>
    </row>
    <row r="162" spans="7:20" ht="50.1" customHeight="1" x14ac:dyDescent="0.2">
      <c r="G162" s="305" t="str">
        <f>O135</f>
        <v>M-010</v>
      </c>
      <c r="H162" s="306" t="str">
        <f>D134</f>
        <v>Lufft Opus 20</v>
      </c>
      <c r="I162" s="307" t="str">
        <f>E134</f>
        <v>0,26.0714.0802.024</v>
      </c>
      <c r="J162" s="308" t="str">
        <f>S134</f>
        <v>2018/06/15- 2018/06/15-    2018-08-21</v>
      </c>
      <c r="K162" s="293" t="str">
        <f>T134</f>
        <v>INM 3375 - INM 3381 -   INM 2264</v>
      </c>
      <c r="L162" s="310">
        <f>P135</f>
        <v>0.3</v>
      </c>
      <c r="M162" s="310">
        <f t="shared" ref="M162:N162" si="10">Q135</f>
        <v>1.7</v>
      </c>
      <c r="N162" s="311">
        <f t="shared" si="10"/>
        <v>0.11</v>
      </c>
      <c r="O162" s="309">
        <f>SLOPE(H134:H136,F134:F136)</f>
        <v>5.9609713245905756E-3</v>
      </c>
      <c r="P162" s="309">
        <f>INTERCEPT(H134:H136,F134:F136)</f>
        <v>-0.20535859948547408</v>
      </c>
      <c r="Q162" s="309">
        <f>SLOPE(H137:H139,F137:F139)</f>
        <v>0.13731524159013078</v>
      </c>
      <c r="R162" s="309">
        <f>INTERCEPT(H137:H139,F137:F139)</f>
        <v>-8.119600220586733</v>
      </c>
      <c r="S162" s="309">
        <f>SLOPE(H140:H142,F140:F142)</f>
        <v>8.9492703987103758E-4</v>
      </c>
      <c r="T162" s="626">
        <f>INTERCEPT(H140:H142,F140:F142)</f>
        <v>-1.4577127920632997</v>
      </c>
    </row>
    <row r="163" spans="7:20" ht="50.1" customHeight="1" x14ac:dyDescent="0.2">
      <c r="G163" s="305" t="str">
        <f>O145</f>
        <v>M-011</v>
      </c>
      <c r="H163" s="306" t="str">
        <f>D144</f>
        <v>Lufft Opus 20</v>
      </c>
      <c r="I163" s="312" t="str">
        <f>E144</f>
        <v>0,22.0714.0802.024</v>
      </c>
      <c r="J163" s="308" t="str">
        <f>S144</f>
        <v>2018-06-01 -/  2018-06-06 -   2018-08-21</v>
      </c>
      <c r="K163" s="293" t="str">
        <f>T144</f>
        <v>INM-3374-INM 3379-INM 2265</v>
      </c>
      <c r="L163" s="310">
        <f>P145</f>
        <v>0.3</v>
      </c>
      <c r="M163" s="310">
        <f t="shared" ref="M163:N163" si="11">Q145</f>
        <v>1.7</v>
      </c>
      <c r="N163" s="311">
        <f t="shared" si="11"/>
        <v>7.8E-2</v>
      </c>
      <c r="O163" s="309">
        <f>SLOPE(H144:H146,F144:F146)</f>
        <v>0</v>
      </c>
      <c r="P163" s="309">
        <f>INTERCEPT(H144:H146,F144:F146)</f>
        <v>0</v>
      </c>
      <c r="Q163" s="309">
        <f>SLOPE(H147:H149,F147:F149)</f>
        <v>0.14763644430271813</v>
      </c>
      <c r="R163" s="309">
        <f>INTERCEPT(H147:H149,F147:F149)</f>
        <v>-8.5625255627265986</v>
      </c>
      <c r="S163" s="309">
        <f>SLOPE(H150:H152,F150:F152)</f>
        <v>1.1151948584603253E-3</v>
      </c>
      <c r="T163" s="626">
        <f>INTERCEPT(H150:H152,F150:F152)</f>
        <v>-1.6501731048735522</v>
      </c>
    </row>
    <row r="164" spans="7:20" ht="50.1" customHeight="1" x14ac:dyDescent="0.2">
      <c r="G164" s="305" t="str">
        <f>O114</f>
        <v xml:space="preserve">M-012  </v>
      </c>
      <c r="H164" s="306" t="str">
        <f>D113</f>
        <v>Lufft Opus 20</v>
      </c>
      <c r="I164" s="307">
        <f>E113</f>
        <v>19506160802033</v>
      </c>
      <c r="J164" s="308" t="str">
        <f>S113</f>
        <v>2018-06-07 /-  2018-06-13 -/  2018-08-21</v>
      </c>
      <c r="K164" s="293" t="str">
        <f>T113</f>
        <v>INM-3391, INM 3398 - INM 2266</v>
      </c>
      <c r="L164" s="306">
        <f>P114</f>
        <v>0.4</v>
      </c>
      <c r="M164" s="306">
        <f t="shared" ref="M164:N164" si="12">Q114</f>
        <v>1.7</v>
      </c>
      <c r="N164" s="306">
        <f t="shared" si="12"/>
        <v>0.18</v>
      </c>
      <c r="O164" s="309">
        <f>SLOPE(H113:H115,F113:F115)</f>
        <v>1.5733490914462994E-2</v>
      </c>
      <c r="P164" s="309">
        <f>INTERCEPT(H113:H115,F113:F115)</f>
        <v>-0.39123947407297976</v>
      </c>
      <c r="Q164" s="309">
        <f>SLOPE(H116:H118,F116:F118)</f>
        <v>0.12188723493054039</v>
      </c>
      <c r="R164" s="309">
        <f>INTERCEPT(H116:H118,F116:F118)</f>
        <v>-6.5754450119575232</v>
      </c>
      <c r="S164" s="309">
        <f>SLOPE(H119:H121,F119:F121)</f>
        <v>2.8216127134855539E-3</v>
      </c>
      <c r="T164" s="626">
        <f>INTERCEPT(H119:H121,F119:F121)</f>
        <v>-2.8290725996619179</v>
      </c>
    </row>
    <row r="165" spans="7:20" ht="50.1" customHeight="1" thickBot="1" x14ac:dyDescent="0.25">
      <c r="G165" s="313" t="str">
        <f>O125</f>
        <v xml:space="preserve">M-013  </v>
      </c>
      <c r="H165" s="317" t="str">
        <f>D124</f>
        <v>Lufft Opus 20</v>
      </c>
      <c r="I165" s="314">
        <f>E124</f>
        <v>19406160802033</v>
      </c>
      <c r="J165" s="315" t="str">
        <f>S124</f>
        <v>2018-06-14 - / 2018-06-15 -    2018-08-21</v>
      </c>
      <c r="K165" s="316" t="str">
        <f>T124</f>
        <v>INM 3411 - INM 3412 -  INM 2267</v>
      </c>
      <c r="L165" s="317">
        <f>P125</f>
        <v>0.4</v>
      </c>
      <c r="M165" s="317">
        <f t="shared" ref="M165:N165" si="13">Q125</f>
        <v>1.7</v>
      </c>
      <c r="N165" s="317">
        <f t="shared" si="13"/>
        <v>0.11</v>
      </c>
      <c r="O165" s="318">
        <f>SLOPE(H124:H126,F124:F126)</f>
        <v>-5.2446913490004025E-3</v>
      </c>
      <c r="P165" s="318">
        <f>INTERCEPT(H124:H126,F124:F126)</f>
        <v>9.6909835166843317E-2</v>
      </c>
      <c r="Q165" s="318">
        <f>SLOPE(H127:H129,F127:F129)</f>
        <v>9.4154637161561874E-2</v>
      </c>
      <c r="R165" s="318">
        <f>INTERCEPT(H127:H129,F127:F129)</f>
        <v>-5.5686579671974146</v>
      </c>
      <c r="S165" s="318">
        <f>SLOPE(H130:H132,F130:F132)</f>
        <v>8.5645586858455974E-4</v>
      </c>
      <c r="T165" s="627">
        <f>INTERCEPT(H130:H132,F130:F132)</f>
        <v>-1.3988943739892754</v>
      </c>
    </row>
    <row r="199" spans="64:67" ht="35.1" customHeight="1" x14ac:dyDescent="0.25">
      <c r="BL199" s="257"/>
      <c r="BM199" s="257"/>
      <c r="BN199" s="257"/>
      <c r="BO199" s="257"/>
    </row>
    <row r="200" spans="64:67" ht="35.1" customHeight="1" x14ac:dyDescent="0.25">
      <c r="BL200" s="257"/>
      <c r="BM200" s="257"/>
      <c r="BN200" s="257"/>
      <c r="BO200" s="257"/>
    </row>
    <row r="201" spans="64:67" ht="35.1" customHeight="1" x14ac:dyDescent="0.25">
      <c r="BL201" s="257"/>
      <c r="BM201" s="257"/>
      <c r="BN201" s="257"/>
      <c r="BO201" s="257"/>
    </row>
    <row r="202" spans="64:67" ht="35.1" customHeight="1" x14ac:dyDescent="0.25">
      <c r="BL202" s="257"/>
      <c r="BM202" s="257"/>
      <c r="BN202" s="257"/>
      <c r="BO202" s="257"/>
    </row>
  </sheetData>
  <sheetProtection algorithmName="SHA-512" hashValue="JnWRAiOivUEHZ8o/Ekmp8vU0Xt32wE5crHG50n+BByJCWOjjQ9Qp9n5URjn3U3K+dyrCcIG+wtGoXOLY7hiplA==" saltValue="9mIQdmQXwvDwZ4vJH+27Mw==" spinCount="100000" sheet="1" objects="1" scenarios="1"/>
  <mergeCells count="162">
    <mergeCell ref="T144:T146"/>
    <mergeCell ref="H154:K154"/>
    <mergeCell ref="H155:K155"/>
    <mergeCell ref="L5:L6"/>
    <mergeCell ref="O114:O115"/>
    <mergeCell ref="O125:O126"/>
    <mergeCell ref="O135:O136"/>
    <mergeCell ref="O145:O146"/>
    <mergeCell ref="E113:E121"/>
    <mergeCell ref="J119:J121"/>
    <mergeCell ref="K119:K121"/>
    <mergeCell ref="L119:L121"/>
    <mergeCell ref="E124:E132"/>
    <mergeCell ref="E134:E142"/>
    <mergeCell ref="E144:E152"/>
    <mergeCell ref="C96:T97"/>
    <mergeCell ref="C98:T98"/>
    <mergeCell ref="D99:D100"/>
    <mergeCell ref="E99:E100"/>
    <mergeCell ref="F99:F100"/>
    <mergeCell ref="G99:G100"/>
    <mergeCell ref="H99:H100"/>
    <mergeCell ref="I99:I100"/>
    <mergeCell ref="S102:S104"/>
    <mergeCell ref="S144:S146"/>
    <mergeCell ref="A147:B149"/>
    <mergeCell ref="J147:J149"/>
    <mergeCell ref="K147:K149"/>
    <mergeCell ref="L147:L149"/>
    <mergeCell ref="A144:B146"/>
    <mergeCell ref="D144:D152"/>
    <mergeCell ref="J144:J146"/>
    <mergeCell ref="K144:K146"/>
    <mergeCell ref="A150:B152"/>
    <mergeCell ref="J150:J152"/>
    <mergeCell ref="K150:K152"/>
    <mergeCell ref="C144:C152"/>
    <mergeCell ref="L150:L152"/>
    <mergeCell ref="L144:L146"/>
    <mergeCell ref="S134:S136"/>
    <mergeCell ref="T134:T136"/>
    <mergeCell ref="A137:B139"/>
    <mergeCell ref="J137:J139"/>
    <mergeCell ref="K137:K139"/>
    <mergeCell ref="L137:L139"/>
    <mergeCell ref="L130:L132"/>
    <mergeCell ref="A134:B136"/>
    <mergeCell ref="D134:D142"/>
    <mergeCell ref="J134:J136"/>
    <mergeCell ref="K134:K136"/>
    <mergeCell ref="L134:L136"/>
    <mergeCell ref="A140:B142"/>
    <mergeCell ref="J140:J142"/>
    <mergeCell ref="K140:K142"/>
    <mergeCell ref="L140:L142"/>
    <mergeCell ref="C124:C132"/>
    <mergeCell ref="C134:C142"/>
    <mergeCell ref="L124:L126"/>
    <mergeCell ref="S124:S126"/>
    <mergeCell ref="T124:T126"/>
    <mergeCell ref="A127:B129"/>
    <mergeCell ref="J127:J129"/>
    <mergeCell ref="K127:K129"/>
    <mergeCell ref="K105:K107"/>
    <mergeCell ref="K108:K110"/>
    <mergeCell ref="A102:B104"/>
    <mergeCell ref="J99:J100"/>
    <mergeCell ref="C113:C121"/>
    <mergeCell ref="K99:K100"/>
    <mergeCell ref="L127:L129"/>
    <mergeCell ref="A124:B126"/>
    <mergeCell ref="D124:D132"/>
    <mergeCell ref="J124:J126"/>
    <mergeCell ref="K124:K126"/>
    <mergeCell ref="A130:B132"/>
    <mergeCell ref="J130:J132"/>
    <mergeCell ref="K130:K132"/>
    <mergeCell ref="A119:B121"/>
    <mergeCell ref="A108:B110"/>
    <mergeCell ref="A113:B115"/>
    <mergeCell ref="D113:D121"/>
    <mergeCell ref="J113:J115"/>
    <mergeCell ref="K113:K115"/>
    <mergeCell ref="L113:L115"/>
    <mergeCell ref="S113:S115"/>
    <mergeCell ref="T113:T115"/>
    <mergeCell ref="A116:B118"/>
    <mergeCell ref="J116:J118"/>
    <mergeCell ref="K116:K118"/>
    <mergeCell ref="L116:L118"/>
    <mergeCell ref="J108:J110"/>
    <mergeCell ref="L99:L100"/>
    <mergeCell ref="O99:O100"/>
    <mergeCell ref="P99:R100"/>
    <mergeCell ref="C102:C110"/>
    <mergeCell ref="O103:O104"/>
    <mergeCell ref="E102:E110"/>
    <mergeCell ref="T102:T104"/>
    <mergeCell ref="D102:D110"/>
    <mergeCell ref="L102:L104"/>
    <mergeCell ref="L105:L107"/>
    <mergeCell ref="L108:L110"/>
    <mergeCell ref="K102:K104"/>
    <mergeCell ref="S99:S100"/>
    <mergeCell ref="T99:T100"/>
    <mergeCell ref="J102:J104"/>
    <mergeCell ref="J105:J107"/>
    <mergeCell ref="A105:B107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C3:N4"/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  <mergeCell ref="A154:F154"/>
    <mergeCell ref="B157:C157"/>
    <mergeCell ref="D157:E157"/>
    <mergeCell ref="B158:C158"/>
    <mergeCell ref="D158:E158"/>
    <mergeCell ref="B159:C159"/>
    <mergeCell ref="D159:E159"/>
    <mergeCell ref="B155:F155"/>
    <mergeCell ref="B156:C156"/>
    <mergeCell ref="D156:E15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ignoredErrors>
    <ignoredError sqref="P103:R103 P125:Q125 P135:R135 P145:R145 O161:O165 P161:P165 Q161:Q165 R161:R165 S161:S165 T161:T16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44"/>
  <sheetViews>
    <sheetView showGridLines="0" view="pageBreakPreview" topLeftCell="A40" zoomScale="80" zoomScaleNormal="80" zoomScaleSheetLayoutView="80" workbookViewId="0">
      <selection activeCell="F47" sqref="F47"/>
    </sheetView>
  </sheetViews>
  <sheetFormatPr baseColWidth="10" defaultColWidth="15.7109375" defaultRowHeight="35.1" customHeight="1" x14ac:dyDescent="0.2"/>
  <cols>
    <col min="1" max="1" width="16.7109375" style="1" customWidth="1"/>
    <col min="2" max="4" width="16.7109375" style="6" customWidth="1"/>
    <col min="5" max="5" width="20.42578125" style="6" customWidth="1"/>
    <col min="6" max="11" width="16.7109375" style="6" customWidth="1"/>
    <col min="12" max="12" width="16.7109375" style="1" customWidth="1"/>
    <col min="13" max="16384" width="15.7109375" style="1"/>
  </cols>
  <sheetData>
    <row r="1" spans="1:20" ht="35.1" customHeight="1" x14ac:dyDescent="0.2">
      <c r="A1" s="1099"/>
      <c r="B1" s="1100"/>
      <c r="C1" s="1254" t="s">
        <v>357</v>
      </c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6"/>
    </row>
    <row r="2" spans="1:20" ht="35.1" customHeight="1" x14ac:dyDescent="0.2">
      <c r="A2" s="1101"/>
      <c r="B2" s="1102"/>
      <c r="C2" s="1257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9"/>
    </row>
    <row r="3" spans="1:20" ht="35.1" customHeight="1" thickBot="1" x14ac:dyDescent="0.25">
      <c r="A3" s="1103"/>
      <c r="B3" s="1104"/>
      <c r="C3" s="1260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2"/>
    </row>
    <row r="4" spans="1:20" s="5" customFormat="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</row>
    <row r="5" spans="1:20" ht="44.25" customHeight="1" thickBot="1" x14ac:dyDescent="0.25">
      <c r="B5" s="68" t="s">
        <v>7</v>
      </c>
      <c r="C5" s="69" t="s">
        <v>135</v>
      </c>
      <c r="D5" s="69" t="s">
        <v>299</v>
      </c>
      <c r="E5" s="69" t="s">
        <v>136</v>
      </c>
      <c r="F5" s="69" t="s">
        <v>81</v>
      </c>
      <c r="G5" s="70" t="s">
        <v>8</v>
      </c>
      <c r="H5" s="70" t="s">
        <v>75</v>
      </c>
      <c r="I5" s="71" t="s">
        <v>138</v>
      </c>
      <c r="J5" s="1097"/>
      <c r="L5" s="7"/>
    </row>
    <row r="6" spans="1:20" ht="35.1" customHeight="1" thickBot="1" x14ac:dyDescent="0.25">
      <c r="A6" s="8"/>
      <c r="B6" s="65" t="e">
        <f>VLOOKUP($J$5,'DATOS '!$C$7:$K$22,2,FALSE)</f>
        <v>#N/A</v>
      </c>
      <c r="C6" s="75" t="e">
        <f>VLOOKUP($J$5,'DATOS '!$C$7:$K$22,3,FALSE)</f>
        <v>#N/A</v>
      </c>
      <c r="D6" s="65" t="e">
        <f>VLOOKUP($J$5,'DATOS '!$C$7:$K$22,8,FALSE)</f>
        <v>#N/A</v>
      </c>
      <c r="E6" s="65" t="e">
        <f>VLOOKUP($J$5,'DATOS '!$C$7:$K$22,6,FALSE)</f>
        <v>#N/A</v>
      </c>
      <c r="F6" s="75" t="e">
        <f>VLOOKUP($J$5,'DATOS '!$C$7:$K$22,7,FALSE)</f>
        <v>#N/A</v>
      </c>
      <c r="G6" s="65" t="e">
        <f>VLOOKUP($J$5,'DATOS '!$C$7:$K$22,4,FALSE)</f>
        <v>#N/A</v>
      </c>
      <c r="H6" s="65" t="e">
        <f>VLOOKUP($J$5,'DATOS '!$C$7:$K$22,5,FALSE)</f>
        <v>#N/A</v>
      </c>
      <c r="I6" s="65" t="e">
        <f>VLOOKUP($J$5,'DATOS '!$C$7:$K$22,9,FALSE)</f>
        <v>#N/A</v>
      </c>
      <c r="J6" s="1098"/>
      <c r="L6" s="7"/>
    </row>
    <row r="7" spans="1:20" ht="9.9499999999999993" customHeight="1" thickBot="1" x14ac:dyDescent="0.25">
      <c r="B7" s="9"/>
      <c r="C7" s="10"/>
      <c r="D7" s="11"/>
      <c r="E7" s="10"/>
      <c r="F7" s="9"/>
      <c r="G7" s="12"/>
      <c r="H7" s="13"/>
      <c r="I7" s="9"/>
      <c r="J7" s="10"/>
      <c r="K7" s="10"/>
      <c r="L7" s="7"/>
    </row>
    <row r="8" spans="1:20" ht="35.1" customHeight="1" thickBot="1" x14ac:dyDescent="0.25">
      <c r="B8" s="1105" t="s">
        <v>10</v>
      </c>
      <c r="C8" s="1106"/>
      <c r="D8" s="1106"/>
      <c r="E8" s="1107"/>
      <c r="F8" s="270"/>
      <c r="G8" s="14"/>
      <c r="H8" s="14"/>
      <c r="I8" s="14"/>
      <c r="J8" s="14"/>
      <c r="K8" s="14"/>
      <c r="L8" s="808"/>
    </row>
    <row r="9" spans="1:20" ht="35.1" customHeight="1" thickBot="1" x14ac:dyDescent="0.25">
      <c r="B9" s="1117" t="s">
        <v>3</v>
      </c>
      <c r="C9" s="1118"/>
      <c r="D9" s="479" t="e">
        <f>VLOOKUP($F$8,'DATOS '!$C$16:$L$22,2,FALSE)</f>
        <v>#N/A</v>
      </c>
      <c r="E9" s="480"/>
      <c r="F9" s="15"/>
      <c r="G9" s="1105" t="s">
        <v>271</v>
      </c>
      <c r="H9" s="1106"/>
      <c r="I9" s="1106"/>
      <c r="J9" s="1107"/>
      <c r="K9" s="14"/>
      <c r="L9" s="14"/>
    </row>
    <row r="10" spans="1:20" ht="35.1" customHeight="1" thickBot="1" x14ac:dyDescent="0.25">
      <c r="B10" s="1111" t="s">
        <v>9</v>
      </c>
      <c r="C10" s="1119"/>
      <c r="D10" s="72" t="e">
        <f>VLOOKUP($F$8,'DATOS '!$C$16:$L$22,3,FALSE)</f>
        <v>#N/A</v>
      </c>
      <c r="E10" s="481"/>
      <c r="F10" s="15"/>
      <c r="G10" s="1115" t="s">
        <v>273</v>
      </c>
      <c r="H10" s="1116"/>
      <c r="I10" s="1113" t="e">
        <f>VLOOKUP($K$10,'DATOS '!$B$27:$Q$88,1,FALSE)</f>
        <v>#N/A</v>
      </c>
      <c r="J10" s="1114"/>
      <c r="K10" s="271"/>
      <c r="L10" s="14"/>
      <c r="M10" s="16"/>
      <c r="N10" s="16"/>
      <c r="O10" s="16"/>
      <c r="P10" s="16"/>
    </row>
    <row r="11" spans="1:20" ht="35.1" customHeight="1" x14ac:dyDescent="0.2">
      <c r="B11" s="1111" t="s">
        <v>1</v>
      </c>
      <c r="C11" s="1119"/>
      <c r="D11" s="74" t="e">
        <f>VLOOKUP($F$8,'DATOS '!$C$16:$L$22,4,FALSE)</f>
        <v>#N/A</v>
      </c>
      <c r="E11" s="644"/>
      <c r="F11" s="15"/>
      <c r="G11" s="1111" t="s">
        <v>3</v>
      </c>
      <c r="H11" s="1119"/>
      <c r="I11" s="1120" t="e">
        <f>VLOOKUP($K$10,'DATOS '!$B$27:$R$88,4,FALSE)</f>
        <v>#N/A</v>
      </c>
      <c r="J11" s="1121"/>
      <c r="K11" s="14"/>
      <c r="L11" s="14"/>
      <c r="P11" s="16"/>
    </row>
    <row r="12" spans="1:20" s="16" customFormat="1" ht="35.1" customHeight="1" x14ac:dyDescent="0.2">
      <c r="B12" s="1111" t="s">
        <v>310</v>
      </c>
      <c r="C12" s="1112"/>
      <c r="D12" s="74" t="e">
        <f>VLOOKUP($F$8,'DATOS '!$C$16:$L$22,5,FALSE)</f>
        <v>#N/A</v>
      </c>
      <c r="E12" s="481"/>
      <c r="F12" s="17"/>
      <c r="G12" s="1137" t="s">
        <v>0</v>
      </c>
      <c r="H12" s="1138"/>
      <c r="I12" s="1120" t="e">
        <f>VLOOKUP($K$10,'DATOS '!$B$27:$R$88,3,FALSE)</f>
        <v>#N/A</v>
      </c>
      <c r="J12" s="1121"/>
      <c r="K12" s="10"/>
      <c r="L12" s="18"/>
      <c r="Q12" s="1"/>
      <c r="R12" s="1"/>
      <c r="S12" s="1"/>
      <c r="T12" s="1"/>
    </row>
    <row r="13" spans="1:20" s="16" customFormat="1" ht="35.1" customHeight="1" x14ac:dyDescent="0.2">
      <c r="B13" s="1141" t="s">
        <v>48</v>
      </c>
      <c r="C13" s="1142"/>
      <c r="D13" s="74" t="e">
        <f>VLOOKUP($F$8,'DATOS '!$C$16:$L$22,6,FALSE)</f>
        <v>#N/A</v>
      </c>
      <c r="E13" s="481"/>
      <c r="F13" s="17"/>
      <c r="G13" s="1111" t="s">
        <v>2</v>
      </c>
      <c r="H13" s="1119"/>
      <c r="I13" s="1120" t="e">
        <f>VLOOKUP($K$10,'DATOS '!$B$27:$R$88,7,FALSE)</f>
        <v>#N/A</v>
      </c>
      <c r="J13" s="1121"/>
      <c r="K13" s="10"/>
      <c r="L13" s="18"/>
    </row>
    <row r="14" spans="1:20" s="16" customFormat="1" ht="35.1" customHeight="1" x14ac:dyDescent="0.2">
      <c r="B14" s="1143" t="s">
        <v>300</v>
      </c>
      <c r="C14" s="1144"/>
      <c r="D14" s="73" t="e">
        <f>VLOOKUP($F$8,'DATOS '!$C$16:$L$22,7,FALSE)</f>
        <v>#N/A</v>
      </c>
      <c r="E14" s="481"/>
      <c r="F14" s="17"/>
      <c r="G14" s="1111" t="s">
        <v>252</v>
      </c>
      <c r="H14" s="1119"/>
      <c r="I14" s="1122" t="e">
        <f>VLOOKUP($K$10,'DATOS '!$B$27:$R$88,8,FALSE)</f>
        <v>#N/A</v>
      </c>
      <c r="J14" s="1123"/>
      <c r="K14" s="10"/>
      <c r="L14" s="18"/>
    </row>
    <row r="15" spans="1:20" s="16" customFormat="1" ht="35.1" customHeight="1" thickBot="1" x14ac:dyDescent="0.25">
      <c r="B15" s="1184" t="s">
        <v>301</v>
      </c>
      <c r="C15" s="1185"/>
      <c r="D15" s="482" t="e">
        <f>VLOOKUP($F$8,'DATOS '!$C$16:$L$22,8,FALSE)</f>
        <v>#N/A</v>
      </c>
      <c r="E15" s="483"/>
      <c r="F15" s="17"/>
      <c r="G15" s="1186" t="s">
        <v>112</v>
      </c>
      <c r="H15" s="1187"/>
      <c r="I15" s="1188" t="e">
        <f>VLOOKUP($K$10,'DATOS '!$B$27:$R$88,17,FALSE)</f>
        <v>#N/A</v>
      </c>
      <c r="J15" s="1189"/>
      <c r="K15" s="10"/>
      <c r="L15" s="10"/>
    </row>
    <row r="16" spans="1:20" s="16" customFormat="1" ht="9.9499999999999993" customHeight="1" thickBot="1" x14ac:dyDescent="0.3">
      <c r="B16" s="19"/>
      <c r="C16" s="19"/>
      <c r="D16" s="19"/>
      <c r="E16" s="19"/>
      <c r="F16" s="19"/>
      <c r="G16" s="20"/>
      <c r="H16" s="20"/>
      <c r="I16" s="21"/>
      <c r="J16" s="19"/>
      <c r="K16" s="10"/>
      <c r="L16" s="10"/>
    </row>
    <row r="17" spans="1:12" s="16" customFormat="1" ht="35.1" customHeight="1" thickBot="1" x14ac:dyDescent="0.3">
      <c r="B17" s="1194" t="s">
        <v>11</v>
      </c>
      <c r="C17" s="1195"/>
      <c r="D17" s="1106"/>
      <c r="E17" s="1106"/>
      <c r="F17" s="1106"/>
      <c r="G17" s="1106"/>
      <c r="H17" s="1106"/>
      <c r="I17" s="1106"/>
      <c r="J17" s="1107"/>
      <c r="K17" s="10"/>
      <c r="L17" s="10"/>
    </row>
    <row r="18" spans="1:12" s="16" customFormat="1" ht="35.1" customHeight="1" thickBot="1" x14ac:dyDescent="0.3">
      <c r="B18" s="1131" t="s">
        <v>96</v>
      </c>
      <c r="C18" s="1132"/>
      <c r="D18" s="1207"/>
      <c r="E18" s="468"/>
      <c r="F18" s="1209"/>
      <c r="G18" s="1196" t="s">
        <v>302</v>
      </c>
      <c r="H18" s="1197"/>
      <c r="I18" s="1197"/>
      <c r="J18" s="1198"/>
      <c r="K18" s="10"/>
      <c r="L18" s="10"/>
    </row>
    <row r="19" spans="1:12" s="16" customFormat="1" ht="35.1" customHeight="1" thickBot="1" x14ac:dyDescent="0.3">
      <c r="B19" s="1133"/>
      <c r="C19" s="1134"/>
      <c r="D19" s="1208"/>
      <c r="E19" s="469"/>
      <c r="F19" s="1210"/>
      <c r="G19" s="1199" t="s">
        <v>97</v>
      </c>
      <c r="H19" s="1190" t="s">
        <v>118</v>
      </c>
      <c r="I19" s="1190" t="s">
        <v>13</v>
      </c>
      <c r="J19" s="1192" t="s">
        <v>303</v>
      </c>
      <c r="K19" s="10"/>
      <c r="L19" s="10"/>
    </row>
    <row r="20" spans="1:12" s="16" customFormat="1" ht="35.1" customHeight="1" thickBot="1" x14ac:dyDescent="0.3">
      <c r="B20" s="1135"/>
      <c r="C20" s="1136"/>
      <c r="D20" s="1203"/>
      <c r="E20" s="1204"/>
      <c r="F20" s="1204"/>
      <c r="G20" s="1200"/>
      <c r="H20" s="1191"/>
      <c r="I20" s="1191"/>
      <c r="J20" s="1193"/>
      <c r="K20" s="10"/>
      <c r="L20" s="10"/>
    </row>
    <row r="21" spans="1:12" s="16" customFormat="1" ht="35.1" customHeight="1" thickBot="1" x14ac:dyDescent="0.3">
      <c r="B21" s="1131" t="s">
        <v>12</v>
      </c>
      <c r="C21" s="1132"/>
      <c r="D21" s="1205"/>
      <c r="E21" s="1206"/>
      <c r="F21" s="1206"/>
      <c r="G21" s="474" t="e">
        <f>VLOOKUP($K$21,'DATOS '!$C$27:$R$88,8,FALSE)</f>
        <v>#N/A</v>
      </c>
      <c r="H21" s="470" t="e">
        <f>VLOOKUP($K$21,'DATOS '!$C$27:$R$88,12,FALSE)</f>
        <v>#N/A</v>
      </c>
      <c r="I21" s="470" t="e">
        <f>VLOOKUP($K$21,'DATOS '!$C$27:$R$88,13,FALSE)</f>
        <v>#N/A</v>
      </c>
      <c r="J21" s="475" t="e">
        <f>VLOOKUP($K$21,'DATOS '!$C$27:$R$88,5,FALSE)</f>
        <v>#N/A</v>
      </c>
      <c r="K21" s="472"/>
      <c r="L21" s="10"/>
    </row>
    <row r="22" spans="1:12" s="16" customFormat="1" ht="35.1" customHeight="1" thickBot="1" x14ac:dyDescent="0.3">
      <c r="B22" s="1133"/>
      <c r="C22" s="1134"/>
      <c r="D22" s="272"/>
      <c r="E22" s="272"/>
      <c r="F22" s="471"/>
      <c r="G22" s="476" t="e">
        <f>VLOOKUP($K$22,'DATOS '!$C$27:$R$88,8,FALSE)</f>
        <v>#N/A</v>
      </c>
      <c r="H22" s="67" t="e">
        <f>VLOOKUP($K$22,'DATOS '!$C$27:$R$88,12,FALSE)</f>
        <v>#N/A</v>
      </c>
      <c r="I22" s="67" t="e">
        <f>VLOOKUP($K$22,'DATOS '!$C$27:$R$88,13,FALSE)</f>
        <v>#N/A</v>
      </c>
      <c r="J22" s="477" t="e">
        <f>VLOOKUP($K$22,'DATOS '!$C$27:$R$88,5,FALSE)</f>
        <v>#N/A</v>
      </c>
      <c r="K22" s="472"/>
      <c r="L22" s="10"/>
    </row>
    <row r="23" spans="1:12" s="16" customFormat="1" ht="35.1" customHeight="1" thickBot="1" x14ac:dyDescent="0.3">
      <c r="A23" s="19"/>
      <c r="B23" s="1135"/>
      <c r="C23" s="1136"/>
      <c r="D23" s="1211"/>
      <c r="E23" s="1212"/>
      <c r="F23" s="1212"/>
      <c r="G23" s="476" t="e">
        <f>VLOOKUP($K$23,'DATOS '!$C$27:$R$88,8,FALSE)</f>
        <v>#N/A</v>
      </c>
      <c r="H23" s="67" t="e">
        <f>VLOOKUP($K$23,'DATOS '!$C$27:$R$88,12,FALSE)</f>
        <v>#N/A</v>
      </c>
      <c r="I23" s="628" t="e">
        <f>VLOOKUP($K$23,'DATOS '!$C$27:$R$88,13,FALSE)</f>
        <v>#N/A</v>
      </c>
      <c r="J23" s="477" t="e">
        <f>VLOOKUP($K$23,'DATOS '!$C$27:$R$88,5,FALSE)</f>
        <v>#N/A</v>
      </c>
      <c r="K23" s="472"/>
      <c r="L23" s="10"/>
    </row>
    <row r="24" spans="1:12" s="16" customFormat="1" ht="35.1" customHeight="1" thickBot="1" x14ac:dyDescent="0.3">
      <c r="A24" s="19"/>
      <c r="C24" s="1213" t="s">
        <v>356</v>
      </c>
      <c r="D24" s="1214"/>
      <c r="E24" s="484"/>
      <c r="G24" s="476" t="e">
        <f>VLOOKUP($K$24,'DATOS '!$C$27:$R$88,8,FALSE)</f>
        <v>#N/A</v>
      </c>
      <c r="H24" s="67" t="e">
        <f>VLOOKUP($K$24,'DATOS '!$C$27:$R$88,12,FALSE)</f>
        <v>#N/A</v>
      </c>
      <c r="I24" s="628" t="e">
        <f>VLOOKUP($K$24,'DATOS '!$C$27:$R$88,13,FALSE)</f>
        <v>#N/A</v>
      </c>
      <c r="J24" s="477" t="e">
        <f>VLOOKUP($K$24,'DATOS '!$C$27:$R$88,5,FALSE)</f>
        <v>#N/A</v>
      </c>
      <c r="K24" s="472"/>
      <c r="L24" s="10"/>
    </row>
    <row r="25" spans="1:12" s="16" customFormat="1" ht="35.1" customHeight="1" thickBot="1" x14ac:dyDescent="0.3">
      <c r="A25" s="22"/>
      <c r="B25" s="386" t="s">
        <v>270</v>
      </c>
      <c r="C25" s="435" t="s">
        <v>119</v>
      </c>
      <c r="D25" s="485" t="s">
        <v>59</v>
      </c>
      <c r="E25" s="387" t="s">
        <v>140</v>
      </c>
      <c r="G25" s="478" t="e">
        <f>G22+G23+G24+B26</f>
        <v>#N/A</v>
      </c>
      <c r="H25" s="465" t="e">
        <f t="shared" ref="H25:I25" si="0">H22+H23+H24+C26</f>
        <v>#N/A</v>
      </c>
      <c r="I25" s="465" t="e">
        <f t="shared" si="0"/>
        <v>#N/A</v>
      </c>
      <c r="J25" s="467" t="e">
        <f>VLOOKUP($K$24,'DATOS '!$C$27:$R$88,5,FALSE)</f>
        <v>#N/A</v>
      </c>
      <c r="K25" s="10"/>
    </row>
    <row r="26" spans="1:12" s="16" customFormat="1" ht="35.1" customHeight="1" thickBot="1" x14ac:dyDescent="0.3">
      <c r="A26" s="19"/>
      <c r="B26" s="478" t="e">
        <f>VLOOKUP($E$24,'DATOS '!$C$27:$R$88,8,FALSE)</f>
        <v>#N/A</v>
      </c>
      <c r="C26" s="465" t="e">
        <f>VLOOKUP($E$24,'DATOS '!$C$27:$R$88,12,FALSE)</f>
        <v>#N/A</v>
      </c>
      <c r="D26" s="465" t="e">
        <f>VLOOKUP($E$24,'DATOS '!$C$27:$R$88,13,FALSE)</f>
        <v>#N/A</v>
      </c>
      <c r="E26" s="467" t="e">
        <f>VLOOKUP($E$24,'DATOS '!$C$27:$R$88,5,FALSE)</f>
        <v>#N/A</v>
      </c>
      <c r="F26" s="23" t="s">
        <v>110</v>
      </c>
      <c r="G26" s="24">
        <f>5-2</f>
        <v>3</v>
      </c>
      <c r="H26" s="10"/>
      <c r="I26" s="473"/>
    </row>
    <row r="27" spans="1:12" s="16" customFormat="1" ht="36" customHeight="1" thickBot="1" x14ac:dyDescent="0.3">
      <c r="A27" s="19"/>
      <c r="B27" s="1124" t="s">
        <v>311</v>
      </c>
      <c r="C27" s="1125"/>
      <c r="D27" s="1125"/>
      <c r="E27" s="1125"/>
      <c r="F27" s="1125"/>
      <c r="G27" s="1125"/>
      <c r="H27" s="1125"/>
      <c r="I27" s="1125"/>
      <c r="J27" s="1125"/>
      <c r="K27" s="1126"/>
    </row>
    <row r="28" spans="1:12" ht="49.5" customHeight="1" x14ac:dyDescent="0.25">
      <c r="A28" s="19"/>
      <c r="B28" s="458" t="s">
        <v>3</v>
      </c>
      <c r="C28" s="459" t="e">
        <f>VLOOKUP($K$28,'DATOS '!$G$153:$T$166,2,FALSE)</f>
        <v>#N/A</v>
      </c>
      <c r="D28" s="460" t="s">
        <v>80</v>
      </c>
      <c r="E28" s="461" t="e">
        <f>VLOOKUP($K$28,'DATOS '!$G$153:$T$166,3,FALSE)</f>
        <v>#N/A</v>
      </c>
      <c r="F28" s="462" t="s">
        <v>2</v>
      </c>
      <c r="G28" s="1127" t="e">
        <f>VLOOKUP($K$28,'DATOS '!$G$153:$T$166,4,FALSE)</f>
        <v>#N/A</v>
      </c>
      <c r="H28" s="1128"/>
      <c r="I28" s="460" t="s">
        <v>312</v>
      </c>
      <c r="J28" s="463" t="e">
        <f>VLOOKUP($K$28,'DATOS '!$G$153:$T$166,5,FALSE)</f>
        <v>#N/A</v>
      </c>
      <c r="K28" s="1201"/>
    </row>
    <row r="29" spans="1:12" ht="35.1" customHeight="1" thickBot="1" x14ac:dyDescent="0.3">
      <c r="A29" s="19"/>
      <c r="B29" s="1129" t="s">
        <v>314</v>
      </c>
      <c r="C29" s="1130"/>
      <c r="D29" s="464" t="s">
        <v>6</v>
      </c>
      <c r="E29" s="465" t="e">
        <f>VLOOKUP($K$28,'DATOS '!$G$153:$T$166,6,FALSE)</f>
        <v>#N/A</v>
      </c>
      <c r="F29" s="1237" t="s">
        <v>4</v>
      </c>
      <c r="G29" s="1237"/>
      <c r="H29" s="465" t="e">
        <f>VLOOKUP($K$28,'DATOS '!$G$153:$T$166,7,FALSE)</f>
        <v>#N/A</v>
      </c>
      <c r="I29" s="466" t="s">
        <v>5</v>
      </c>
      <c r="J29" s="467" t="e">
        <f>VLOOKUP($K$28,'DATOS '!$G$153:$T$166,8,FALSE)</f>
        <v>#N/A</v>
      </c>
      <c r="K29" s="1202"/>
    </row>
    <row r="30" spans="1:12" ht="35.1" customHeight="1" thickBot="1" x14ac:dyDescent="0.3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35.1" customHeight="1" thickBot="1" x14ac:dyDescent="0.25">
      <c r="A31" s="26"/>
      <c r="B31" s="1105" t="s">
        <v>60</v>
      </c>
      <c r="C31" s="1106"/>
      <c r="D31" s="1106"/>
      <c r="E31" s="1106"/>
      <c r="F31" s="1106"/>
      <c r="G31" s="1106"/>
      <c r="H31" s="1106"/>
      <c r="I31" s="1107"/>
      <c r="K31" s="25" t="s">
        <v>113</v>
      </c>
      <c r="L31" s="10"/>
    </row>
    <row r="32" spans="1:12" ht="38.25" customHeight="1" thickBot="1" x14ac:dyDescent="0.25">
      <c r="B32" s="262" t="s">
        <v>354</v>
      </c>
      <c r="C32" s="275"/>
      <c r="D32" s="28" t="s">
        <v>6</v>
      </c>
      <c r="E32" s="274"/>
      <c r="F32" s="29" t="s">
        <v>4</v>
      </c>
      <c r="G32" s="274"/>
      <c r="H32" s="27" t="s">
        <v>5</v>
      </c>
      <c r="I32" s="273"/>
      <c r="K32" s="30" t="s">
        <v>53</v>
      </c>
      <c r="L32" s="31">
        <f>'DATOS '!M8</f>
        <v>2</v>
      </c>
    </row>
    <row r="33" spans="1:11" ht="35.1" customHeight="1" thickBot="1" x14ac:dyDescent="0.25">
      <c r="A33" s="6"/>
      <c r="B33" s="1105" t="s">
        <v>14</v>
      </c>
      <c r="C33" s="1106"/>
      <c r="D33" s="1106"/>
      <c r="E33" s="1106"/>
      <c r="F33" s="1106"/>
      <c r="G33" s="1107"/>
    </row>
    <row r="34" spans="1:11" ht="35.1" customHeight="1" thickBot="1" x14ac:dyDescent="0.25">
      <c r="A34" s="6"/>
      <c r="C34" s="446" t="s">
        <v>55</v>
      </c>
      <c r="D34" s="446" t="s">
        <v>54</v>
      </c>
      <c r="E34" s="447">
        <f>E19</f>
        <v>0</v>
      </c>
      <c r="F34" s="446" t="s">
        <v>47</v>
      </c>
      <c r="G34" s="447">
        <f>E34*1000</f>
        <v>0</v>
      </c>
    </row>
    <row r="35" spans="1:11" ht="35.1" customHeight="1" x14ac:dyDescent="0.2">
      <c r="A35" s="6"/>
      <c r="B35" s="443" t="s">
        <v>15</v>
      </c>
      <c r="C35" s="448">
        <v>1</v>
      </c>
      <c r="D35" s="449">
        <v>2</v>
      </c>
      <c r="E35" s="449">
        <v>3</v>
      </c>
      <c r="F35" s="449">
        <v>4</v>
      </c>
      <c r="G35" s="450">
        <v>5</v>
      </c>
    </row>
    <row r="36" spans="1:11" ht="35.1" customHeight="1" x14ac:dyDescent="0.2">
      <c r="A36" s="6"/>
      <c r="B36" s="444" t="s">
        <v>304</v>
      </c>
      <c r="C36" s="424"/>
      <c r="D36" s="276"/>
      <c r="E36" s="276"/>
      <c r="F36" s="276"/>
      <c r="G36" s="451"/>
    </row>
    <row r="37" spans="1:11" ht="35.1" customHeight="1" x14ac:dyDescent="0.2">
      <c r="A37" s="6"/>
      <c r="B37" s="444" t="s">
        <v>16</v>
      </c>
      <c r="C37" s="452">
        <f>$C$36-C36</f>
        <v>0</v>
      </c>
      <c r="D37" s="32">
        <f t="shared" ref="D37:G37" si="1">$C$36-D36</f>
        <v>0</v>
      </c>
      <c r="E37" s="32">
        <f t="shared" si="1"/>
        <v>0</v>
      </c>
      <c r="F37" s="32">
        <f>$C$36-F36</f>
        <v>0</v>
      </c>
      <c r="G37" s="453">
        <f t="shared" si="1"/>
        <v>0</v>
      </c>
    </row>
    <row r="38" spans="1:11" ht="35.1" customHeight="1" thickBot="1" x14ac:dyDescent="0.25">
      <c r="A38" s="6"/>
      <c r="B38" s="444" t="s">
        <v>46</v>
      </c>
      <c r="C38" s="454">
        <f>ABS(C37)</f>
        <v>0</v>
      </c>
      <c r="D38" s="455">
        <f t="shared" ref="D38:G38" si="2">ABS(D37)</f>
        <v>0</v>
      </c>
      <c r="E38" s="455">
        <f t="shared" si="2"/>
        <v>0</v>
      </c>
      <c r="F38" s="455">
        <f t="shared" si="2"/>
        <v>0</v>
      </c>
      <c r="G38" s="456">
        <f t="shared" si="2"/>
        <v>0</v>
      </c>
    </row>
    <row r="39" spans="1:11" ht="35.1" customHeight="1" thickBot="1" x14ac:dyDescent="0.3">
      <c r="A39" s="6"/>
      <c r="B39" s="445" t="s">
        <v>47</v>
      </c>
      <c r="C39" s="457">
        <f>MAX(C38:G38)*1000</f>
        <v>0</v>
      </c>
      <c r="D39" s="33"/>
      <c r="E39" s="33"/>
      <c r="F39" s="33"/>
      <c r="G39" s="33"/>
    </row>
    <row r="40" spans="1:11" ht="9.9499999999999993" customHeight="1" thickBot="1" x14ac:dyDescent="0.25">
      <c r="A40" s="6"/>
    </row>
    <row r="41" spans="1:11" ht="35.1" customHeight="1" thickBot="1" x14ac:dyDescent="0.25">
      <c r="B41" s="1105" t="s">
        <v>17</v>
      </c>
      <c r="C41" s="1106"/>
      <c r="D41" s="1106"/>
      <c r="E41" s="1106"/>
      <c r="F41" s="1106"/>
      <c r="G41" s="1106"/>
      <c r="H41" s="1106"/>
      <c r="I41" s="1106"/>
      <c r="J41" s="1106"/>
      <c r="K41" s="1107"/>
    </row>
    <row r="42" spans="1:11" s="34" customFormat="1" ht="35.1" customHeight="1" thickBot="1" x14ac:dyDescent="0.25">
      <c r="B42" s="1108" t="s">
        <v>20</v>
      </c>
      <c r="C42" s="1109"/>
      <c r="D42" s="1109"/>
      <c r="E42" s="1109"/>
      <c r="F42" s="1109"/>
      <c r="G42" s="1109"/>
      <c r="H42" s="1109"/>
      <c r="I42" s="1109"/>
      <c r="J42" s="1110"/>
      <c r="K42" s="574" t="s">
        <v>50</v>
      </c>
    </row>
    <row r="43" spans="1:11" ht="35.1" customHeight="1" thickBot="1" x14ac:dyDescent="0.25">
      <c r="A43" s="638" t="s">
        <v>18</v>
      </c>
      <c r="B43" s="699">
        <v>1</v>
      </c>
      <c r="C43" s="700">
        <v>2</v>
      </c>
      <c r="D43" s="700">
        <v>3</v>
      </c>
      <c r="E43" s="700">
        <v>4</v>
      </c>
      <c r="F43" s="700">
        <v>5</v>
      </c>
      <c r="G43" s="700">
        <v>6</v>
      </c>
      <c r="H43" s="700">
        <v>7</v>
      </c>
      <c r="I43" s="700">
        <v>8</v>
      </c>
      <c r="J43" s="700">
        <v>9</v>
      </c>
      <c r="K43" s="701">
        <v>10</v>
      </c>
    </row>
    <row r="44" spans="1:11" ht="35.1" customHeight="1" x14ac:dyDescent="0.2">
      <c r="A44" s="632">
        <f>D22</f>
        <v>0</v>
      </c>
      <c r="B44" s="486"/>
      <c r="C44" s="487"/>
      <c r="D44" s="487"/>
      <c r="E44" s="487"/>
      <c r="F44" s="487"/>
      <c r="G44" s="487"/>
      <c r="H44" s="487"/>
      <c r="I44" s="487"/>
      <c r="J44" s="487"/>
      <c r="K44" s="698"/>
    </row>
    <row r="45" spans="1:11" ht="35.1" customHeight="1" x14ac:dyDescent="0.2">
      <c r="A45" s="632">
        <f>E22</f>
        <v>0</v>
      </c>
      <c r="B45" s="424"/>
      <c r="C45" s="276"/>
      <c r="D45" s="276"/>
      <c r="E45" s="276"/>
      <c r="F45" s="276"/>
      <c r="G45" s="276"/>
      <c r="H45" s="276"/>
      <c r="I45" s="276"/>
      <c r="J45" s="276"/>
      <c r="K45" s="451"/>
    </row>
    <row r="46" spans="1:11" ht="35.1" customHeight="1" thickBot="1" x14ac:dyDescent="0.25">
      <c r="A46" s="633">
        <f>F22</f>
        <v>0</v>
      </c>
      <c r="B46" s="427"/>
      <c r="C46" s="428"/>
      <c r="D46" s="428"/>
      <c r="E46" s="428"/>
      <c r="F46" s="428"/>
      <c r="G46" s="428"/>
      <c r="H46" s="428"/>
      <c r="I46" s="428"/>
      <c r="J46" s="428"/>
      <c r="K46" s="643"/>
    </row>
    <row r="47" spans="1:11" ht="35.1" customHeight="1" x14ac:dyDescent="0.2">
      <c r="B47" s="634" t="s">
        <v>18</v>
      </c>
      <c r="C47" s="635" t="s">
        <v>19</v>
      </c>
      <c r="D47" s="636" t="s">
        <v>63</v>
      </c>
      <c r="E47" s="636" t="s">
        <v>62</v>
      </c>
      <c r="F47" s="637" t="s">
        <v>305</v>
      </c>
      <c r="H47" s="1"/>
      <c r="J47" s="1"/>
      <c r="K47" s="35"/>
    </row>
    <row r="48" spans="1:11" ht="35.1" customHeight="1" thickBot="1" x14ac:dyDescent="0.25">
      <c r="B48" s="436">
        <f>A44</f>
        <v>0</v>
      </c>
      <c r="C48" s="437" t="e">
        <f>AVERAGE(B44:K44)</f>
        <v>#DIV/0!</v>
      </c>
      <c r="D48" s="437" t="e">
        <f>_xlfn.STDEV.S(B44:K44)</f>
        <v>#DIV/0!</v>
      </c>
      <c r="E48" s="437" t="e">
        <f>D48*1000</f>
        <v>#DIV/0!</v>
      </c>
      <c r="F48" s="438" t="e">
        <f>MAX(E48:E50)</f>
        <v>#DIV/0!</v>
      </c>
      <c r="H48" s="1"/>
      <c r="I48" s="1"/>
      <c r="J48" s="7"/>
      <c r="K48" s="1"/>
    </row>
    <row r="49" spans="1:13" ht="35.1" customHeight="1" x14ac:dyDescent="0.2">
      <c r="B49" s="439">
        <f>A45</f>
        <v>0</v>
      </c>
      <c r="C49" s="440" t="e">
        <f t="shared" ref="C49:C50" si="3">AVERAGE(B45:K45)</f>
        <v>#DIV/0!</v>
      </c>
      <c r="D49" s="440" t="e">
        <f t="shared" ref="D49:D50" si="4">_xlfn.STDEV.S(B45:K45)</f>
        <v>#DIV/0!</v>
      </c>
      <c r="E49" s="441" t="e">
        <f t="shared" ref="E49:E50" si="5">D49*1000</f>
        <v>#DIV/0!</v>
      </c>
      <c r="H49" s="1"/>
      <c r="I49" s="1"/>
      <c r="J49" s="7"/>
      <c r="K49" s="1"/>
    </row>
    <row r="50" spans="1:13" ht="35.1" customHeight="1" thickBot="1" x14ac:dyDescent="0.25">
      <c r="A50" s="6"/>
      <c r="B50" s="436">
        <f>A46</f>
        <v>0</v>
      </c>
      <c r="C50" s="437" t="e">
        <f t="shared" si="3"/>
        <v>#DIV/0!</v>
      </c>
      <c r="D50" s="437" t="e">
        <f t="shared" si="4"/>
        <v>#DIV/0!</v>
      </c>
      <c r="E50" s="438" t="e">
        <f t="shared" si="5"/>
        <v>#DIV/0!</v>
      </c>
      <c r="H50" s="1"/>
      <c r="I50" s="7"/>
      <c r="J50" s="7"/>
      <c r="K50" s="7"/>
    </row>
    <row r="51" spans="1:13" ht="29.25" customHeight="1" thickBot="1" x14ac:dyDescent="0.25">
      <c r="A51" s="6"/>
      <c r="B51" s="1"/>
      <c r="C51" s="1"/>
      <c r="D51" s="1"/>
      <c r="E51" s="1"/>
      <c r="F51" s="1"/>
      <c r="G51" s="1"/>
      <c r="H51" s="1"/>
      <c r="I51" s="7"/>
      <c r="J51" s="7"/>
      <c r="K51" s="7"/>
    </row>
    <row r="52" spans="1:13" ht="35.1" customHeight="1" thickBot="1" x14ac:dyDescent="0.25">
      <c r="A52" s="6"/>
      <c r="B52" s="1105" t="s">
        <v>23</v>
      </c>
      <c r="C52" s="1106"/>
      <c r="D52" s="1106"/>
      <c r="E52" s="1106"/>
      <c r="F52" s="1106"/>
      <c r="G52" s="1106"/>
      <c r="H52" s="1106"/>
      <c r="I52" s="1106"/>
      <c r="J52" s="1106"/>
      <c r="K52" s="1106"/>
      <c r="L52" s="1107"/>
    </row>
    <row r="53" spans="1:13" ht="35.1" customHeight="1" thickBot="1" x14ac:dyDescent="0.25">
      <c r="B53" s="1105" t="s">
        <v>104</v>
      </c>
      <c r="C53" s="1106"/>
      <c r="D53" s="1106"/>
      <c r="E53" s="1107"/>
      <c r="F53" s="37"/>
      <c r="G53" s="1105" t="s">
        <v>400</v>
      </c>
      <c r="H53" s="1106"/>
      <c r="I53" s="1106"/>
      <c r="J53" s="1106"/>
      <c r="K53" s="1106"/>
      <c r="L53" s="1107"/>
    </row>
    <row r="54" spans="1:13" ht="46.5" customHeight="1" thickBot="1" x14ac:dyDescent="0.25">
      <c r="A54" s="6"/>
      <c r="B54" s="639" t="s">
        <v>433</v>
      </c>
      <c r="C54" s="495" t="s">
        <v>132</v>
      </c>
      <c r="D54" s="492" t="s">
        <v>35</v>
      </c>
      <c r="E54" s="493" t="s">
        <v>35</v>
      </c>
      <c r="F54" s="37"/>
      <c r="G54" s="490" t="s">
        <v>132</v>
      </c>
      <c r="H54" s="491" t="s">
        <v>306</v>
      </c>
      <c r="I54" s="491"/>
      <c r="J54" s="491"/>
      <c r="K54" s="492" t="s">
        <v>35</v>
      </c>
      <c r="L54" s="493" t="s">
        <v>35</v>
      </c>
    </row>
    <row r="55" spans="1:13" ht="35.1" customHeight="1" x14ac:dyDescent="0.2">
      <c r="A55" s="6"/>
      <c r="B55" s="498" t="e">
        <f>H21</f>
        <v>#N/A</v>
      </c>
      <c r="C55" s="496"/>
      <c r="D55" s="488" t="e">
        <f>C55-B55</f>
        <v>#N/A</v>
      </c>
      <c r="E55" s="494" t="e">
        <f>D55*1000</f>
        <v>#N/A</v>
      </c>
      <c r="F55" s="37"/>
      <c r="G55" s="486"/>
      <c r="H55" s="487"/>
      <c r="I55" s="76" t="e">
        <f>AVERAGE(G55:H55)</f>
        <v>#DIV/0!</v>
      </c>
      <c r="J55" s="282" t="e">
        <f>I55*1000</f>
        <v>#DIV/0!</v>
      </c>
      <c r="K55" s="488" t="e">
        <f>I55-B55</f>
        <v>#DIV/0!</v>
      </c>
      <c r="L55" s="489" t="e">
        <f>K55*1000</f>
        <v>#DIV/0!</v>
      </c>
    </row>
    <row r="56" spans="1:13" ht="35.1" customHeight="1" x14ac:dyDescent="0.2">
      <c r="A56" s="6"/>
      <c r="B56" s="499" t="e">
        <f>H22</f>
        <v>#N/A</v>
      </c>
      <c r="C56" s="442"/>
      <c r="D56" s="38" t="e">
        <f t="shared" ref="D56:D59" si="6">C56-B56</f>
        <v>#N/A</v>
      </c>
      <c r="E56" s="433" t="e">
        <f t="shared" ref="E56:E59" si="7">D56*1000</f>
        <v>#N/A</v>
      </c>
      <c r="F56" s="37"/>
      <c r="G56" s="424"/>
      <c r="H56" s="276"/>
      <c r="I56" s="39" t="e">
        <f>AVERAGE(G56:H56)</f>
        <v>#DIV/0!</v>
      </c>
      <c r="J56" s="36" t="e">
        <f>I56*1000</f>
        <v>#DIV/0!</v>
      </c>
      <c r="K56" s="38" t="e">
        <f>I56-B56</f>
        <v>#DIV/0!</v>
      </c>
      <c r="L56" s="425" t="e">
        <f t="shared" ref="L56:L59" si="8">K56*1000</f>
        <v>#DIV/0!</v>
      </c>
    </row>
    <row r="57" spans="1:13" ht="35.1" customHeight="1" x14ac:dyDescent="0.2">
      <c r="A57" s="6"/>
      <c r="B57" s="499" t="e">
        <f>H23</f>
        <v>#N/A</v>
      </c>
      <c r="C57" s="442"/>
      <c r="D57" s="38" t="e">
        <f t="shared" si="6"/>
        <v>#N/A</v>
      </c>
      <c r="E57" s="433" t="e">
        <f t="shared" si="7"/>
        <v>#N/A</v>
      </c>
      <c r="F57" s="37"/>
      <c r="G57" s="424"/>
      <c r="H57" s="276"/>
      <c r="I57" s="39" t="e">
        <f>AVERAGE(G57:H57)</f>
        <v>#DIV/0!</v>
      </c>
      <c r="J57" s="36" t="e">
        <f t="shared" ref="J57:J59" si="9">I57*1000</f>
        <v>#DIV/0!</v>
      </c>
      <c r="K57" s="38" t="e">
        <f>I57-B57</f>
        <v>#DIV/0!</v>
      </c>
      <c r="L57" s="426" t="e">
        <f t="shared" si="8"/>
        <v>#DIV/0!</v>
      </c>
    </row>
    <row r="58" spans="1:13" ht="35.1" customHeight="1" x14ac:dyDescent="0.2">
      <c r="A58" s="6"/>
      <c r="B58" s="499" t="e">
        <f>H24</f>
        <v>#N/A</v>
      </c>
      <c r="C58" s="442"/>
      <c r="D58" s="38" t="e">
        <f t="shared" si="6"/>
        <v>#N/A</v>
      </c>
      <c r="E58" s="433" t="e">
        <f t="shared" si="7"/>
        <v>#N/A</v>
      </c>
      <c r="F58" s="37"/>
      <c r="G58" s="424"/>
      <c r="H58" s="276"/>
      <c r="I58" s="39" t="e">
        <f>AVERAGE(G58:H58)</f>
        <v>#DIV/0!</v>
      </c>
      <c r="J58" s="36" t="e">
        <f t="shared" si="9"/>
        <v>#DIV/0!</v>
      </c>
      <c r="K58" s="38" t="e">
        <f>I58-B58</f>
        <v>#DIV/0!</v>
      </c>
      <c r="L58" s="426" t="e">
        <f t="shared" si="8"/>
        <v>#DIV/0!</v>
      </c>
    </row>
    <row r="59" spans="1:13" ht="35.1" customHeight="1" thickBot="1" x14ac:dyDescent="0.25">
      <c r="A59" s="6"/>
      <c r="B59" s="500" t="e">
        <f>H25</f>
        <v>#N/A</v>
      </c>
      <c r="C59" s="497"/>
      <c r="D59" s="430" t="e">
        <f t="shared" si="6"/>
        <v>#N/A</v>
      </c>
      <c r="E59" s="434" t="e">
        <f t="shared" si="7"/>
        <v>#N/A</v>
      </c>
      <c r="F59" s="432"/>
      <c r="G59" s="427"/>
      <c r="H59" s="428"/>
      <c r="I59" s="429" t="e">
        <f t="shared" ref="I59" si="10">AVERAGE(G59:H59)</f>
        <v>#DIV/0!</v>
      </c>
      <c r="J59" s="410" t="e">
        <f t="shared" si="9"/>
        <v>#DIV/0!</v>
      </c>
      <c r="K59" s="430" t="e">
        <f>I59-B59</f>
        <v>#DIV/0!</v>
      </c>
      <c r="L59" s="431" t="e">
        <f t="shared" si="8"/>
        <v>#DIV/0!</v>
      </c>
    </row>
    <row r="60" spans="1:13" ht="9.9499999999999993" customHeight="1" thickBot="1" x14ac:dyDescent="0.25">
      <c r="A60" s="6"/>
      <c r="L60" s="6"/>
    </row>
    <row r="61" spans="1:13" ht="35.1" customHeight="1" thickBot="1" x14ac:dyDescent="0.25">
      <c r="A61" s="40"/>
      <c r="B61" s="1194" t="s">
        <v>61</v>
      </c>
      <c r="C61" s="1195"/>
      <c r="D61" s="1195"/>
      <c r="E61" s="1195"/>
      <c r="F61" s="1195"/>
      <c r="G61" s="1195"/>
      <c r="H61" s="1195"/>
      <c r="I61" s="1238"/>
    </row>
    <row r="62" spans="1:13" ht="35.1" customHeight="1" thickBot="1" x14ac:dyDescent="0.25">
      <c r="A62" s="40"/>
      <c r="B62" s="670" t="s">
        <v>353</v>
      </c>
      <c r="C62" s="277"/>
      <c r="D62" s="79" t="s">
        <v>6</v>
      </c>
      <c r="E62" s="278"/>
      <c r="F62" s="79" t="s">
        <v>4</v>
      </c>
      <c r="G62" s="279"/>
      <c r="H62" s="80" t="s">
        <v>5</v>
      </c>
      <c r="I62" s="280"/>
      <c r="J62" s="1"/>
      <c r="K62" s="1177"/>
      <c r="L62" s="1178"/>
    </row>
    <row r="63" spans="1:13" ht="35.1" customHeight="1" thickBot="1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1:13" ht="35.1" customHeight="1" thickBot="1" x14ac:dyDescent="0.25">
      <c r="A64" s="78"/>
      <c r="B64" s="1247" t="s">
        <v>348</v>
      </c>
      <c r="C64" s="1248"/>
      <c r="D64" s="79" t="s">
        <v>6</v>
      </c>
      <c r="E64" s="83">
        <f>(E32+E62)/2</f>
        <v>0</v>
      </c>
      <c r="F64" s="79" t="s">
        <v>4</v>
      </c>
      <c r="G64" s="83">
        <f>(G32+G62)/2</f>
        <v>0</v>
      </c>
      <c r="H64" s="80" t="s">
        <v>5</v>
      </c>
      <c r="I64" s="83">
        <f>(I32+I62)/2</f>
        <v>0</v>
      </c>
      <c r="J64" s="261"/>
      <c r="K64" s="1239" t="s">
        <v>358</v>
      </c>
      <c r="L64" s="1240"/>
    </row>
    <row r="65" spans="1:15" ht="38.25" customHeight="1" thickBot="1" x14ac:dyDescent="0.25">
      <c r="A65" s="78"/>
      <c r="B65" s="1247" t="s">
        <v>349</v>
      </c>
      <c r="C65" s="1248"/>
      <c r="D65" s="84" t="s">
        <v>6</v>
      </c>
      <c r="E65" s="83" t="e">
        <f>E64+(VLOOKUP(K28,'DATOS '!G153:T166,9,FALSE))*E64+(VLOOKUP(K28,'DATOS '!G153:T166,10,FALSE))</f>
        <v>#N/A</v>
      </c>
      <c r="F65" s="79" t="s">
        <v>4</v>
      </c>
      <c r="G65" s="676" t="e">
        <f>G64+(VLOOKUP(K28,'DATOS '!G153:T166,11,FALSE))*G64+(VLOOKUP(K28,'DATOS '!G153:T166,12,FALSE))</f>
        <v>#N/A</v>
      </c>
      <c r="H65" s="80" t="s">
        <v>5</v>
      </c>
      <c r="I65" s="83" t="e">
        <f>I64+(VLOOKUP(K28,'DATOS '!G153:T166,13,FALSE))*I64+(VLOOKUP(K28,'DATOS '!G153:T166,14,FALSE))</f>
        <v>#N/A</v>
      </c>
      <c r="K65" s="81" t="e">
        <f>VLOOKUP($K$62,'DATOS '!$A$156:$B$159,2,FALSE)</f>
        <v>#N/A</v>
      </c>
      <c r="L65" s="66"/>
    </row>
    <row r="66" spans="1:15" ht="21.75" customHeight="1" thickBo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5" ht="35.1" customHeight="1" thickBot="1" x14ac:dyDescent="0.25">
      <c r="A67" s="1105" t="s">
        <v>34</v>
      </c>
      <c r="B67" s="1106"/>
      <c r="C67" s="1106"/>
      <c r="D67" s="1106"/>
      <c r="E67" s="1106"/>
      <c r="F67" s="1106"/>
      <c r="G67" s="1106"/>
      <c r="H67" s="1106"/>
      <c r="I67" s="1106"/>
      <c r="J67" s="1106"/>
      <c r="K67" s="1106"/>
      <c r="L67" s="1107"/>
    </row>
    <row r="68" spans="1:15" s="34" customFormat="1" ht="9.9499999999999993" customHeight="1" thickBot="1" x14ac:dyDescent="0.25"/>
    <row r="69" spans="1:15" ht="35.1" customHeight="1" thickBot="1" x14ac:dyDescent="0.25">
      <c r="B69" s="1"/>
      <c r="C69" s="1"/>
      <c r="D69" s="1"/>
      <c r="E69" s="1"/>
      <c r="F69" s="1244" t="s">
        <v>28</v>
      </c>
      <c r="G69" s="1245"/>
      <c r="H69" s="1245"/>
      <c r="I69" s="1245"/>
      <c r="J69" s="1246"/>
      <c r="K69" s="1"/>
    </row>
    <row r="70" spans="1:15" s="7" customFormat="1" ht="35.1" customHeight="1" thickBot="1" x14ac:dyDescent="0.25">
      <c r="D70" s="41"/>
      <c r="F70" s="640" t="e">
        <f>G21</f>
        <v>#N/A</v>
      </c>
      <c r="G70" s="641" t="e">
        <f>G22</f>
        <v>#N/A</v>
      </c>
      <c r="H70" s="641" t="e">
        <f>G23</f>
        <v>#N/A</v>
      </c>
      <c r="I70" s="641" t="e">
        <f>G24</f>
        <v>#N/A</v>
      </c>
      <c r="J70" s="642" t="e">
        <f>G25</f>
        <v>#N/A</v>
      </c>
      <c r="K70" s="1"/>
      <c r="L70" s="1"/>
      <c r="M70" s="1"/>
      <c r="N70" s="1"/>
      <c r="O70" s="1"/>
    </row>
    <row r="71" spans="1:15" s="34" customFormat="1" ht="9.9499999999999993" customHeight="1" thickBot="1" x14ac:dyDescent="0.25">
      <c r="L71" s="1"/>
      <c r="M71" s="1"/>
      <c r="N71" s="1"/>
      <c r="O71" s="1"/>
    </row>
    <row r="72" spans="1:15" ht="35.1" customHeight="1" thickBot="1" x14ac:dyDescent="0.25">
      <c r="B72" s="1278" t="s">
        <v>33</v>
      </c>
      <c r="C72" s="1279"/>
      <c r="D72" s="1280"/>
      <c r="E72" s="34"/>
      <c r="F72" s="1105" t="s">
        <v>49</v>
      </c>
      <c r="G72" s="1106"/>
      <c r="H72" s="1106"/>
      <c r="I72" s="1106"/>
      <c r="J72" s="1106"/>
      <c r="K72" s="42" t="s">
        <v>27</v>
      </c>
      <c r="L72" s="43" t="s">
        <v>105</v>
      </c>
    </row>
    <row r="73" spans="1:15" ht="35.1" customHeight="1" x14ac:dyDescent="0.2">
      <c r="A73" s="1170" t="s">
        <v>21</v>
      </c>
      <c r="B73" s="1171"/>
      <c r="C73" s="1171"/>
      <c r="D73" s="1171"/>
      <c r="E73" s="1249"/>
      <c r="F73" s="415" t="e">
        <f>(J55*$C$39)/(2*$G$34*SQRT(3))</f>
        <v>#DIV/0!</v>
      </c>
      <c r="G73" s="416" t="e">
        <f>(J56*$C$39)/(2*$G$34*SQRT(3))</f>
        <v>#DIV/0!</v>
      </c>
      <c r="H73" s="416" t="e">
        <f>(J57*$C$39)/(2*$G$34*SQRT(3))</f>
        <v>#DIV/0!</v>
      </c>
      <c r="I73" s="416" t="e">
        <f>(J58*$C$39)/(2*$G$34*SQRT(3))</f>
        <v>#DIV/0!</v>
      </c>
      <c r="J73" s="416" t="e">
        <f>(J59*$C$39)/(2*$G$34*SQRT(3))</f>
        <v>#DIV/0!</v>
      </c>
      <c r="K73" s="417" t="s">
        <v>51</v>
      </c>
      <c r="L73" s="405">
        <v>100</v>
      </c>
    </row>
    <row r="74" spans="1:15" ht="35.1" customHeight="1" x14ac:dyDescent="0.2">
      <c r="A74" s="1250" t="s">
        <v>22</v>
      </c>
      <c r="B74" s="1251"/>
      <c r="C74" s="1252"/>
      <c r="D74" s="1252"/>
      <c r="E74" s="1253"/>
      <c r="F74" s="418" t="e">
        <f>$F$48/SQRT($K$43)</f>
        <v>#DIV/0!</v>
      </c>
      <c r="G74" s="44" t="e">
        <f t="shared" ref="G74:J74" si="11">$F$48/SQRT($K$43)</f>
        <v>#DIV/0!</v>
      </c>
      <c r="H74" s="44" t="e">
        <f t="shared" si="11"/>
        <v>#DIV/0!</v>
      </c>
      <c r="I74" s="44" t="e">
        <f t="shared" si="11"/>
        <v>#DIV/0!</v>
      </c>
      <c r="J74" s="44" t="e">
        <f t="shared" si="11"/>
        <v>#DIV/0!</v>
      </c>
      <c r="K74" s="45" t="s">
        <v>52</v>
      </c>
      <c r="L74" s="419">
        <f>K43-1</f>
        <v>9</v>
      </c>
    </row>
    <row r="75" spans="1:15" ht="35.1" customHeight="1" thickBot="1" x14ac:dyDescent="0.25">
      <c r="A75" s="1162" t="s">
        <v>24</v>
      </c>
      <c r="B75" s="1163"/>
      <c r="C75" s="1292"/>
      <c r="D75" s="1292"/>
      <c r="E75" s="1293"/>
      <c r="F75" s="420" t="e">
        <f>($D$14*1000)/SQRT(6)</f>
        <v>#N/A</v>
      </c>
      <c r="G75" s="421" t="e">
        <f>($D$14*1000)/SQRT(6)</f>
        <v>#N/A</v>
      </c>
      <c r="H75" s="421" t="e">
        <f>($D$14*1000)/SQRT(6)</f>
        <v>#N/A</v>
      </c>
      <c r="I75" s="421" t="e">
        <f t="shared" ref="I75:J75" si="12">($D$14*1000)/SQRT(6)</f>
        <v>#N/A</v>
      </c>
      <c r="J75" s="421" t="e">
        <f t="shared" si="12"/>
        <v>#N/A</v>
      </c>
      <c r="K75" s="422" t="s">
        <v>51</v>
      </c>
      <c r="L75" s="411">
        <v>100</v>
      </c>
    </row>
    <row r="76" spans="1:15" ht="35.1" customHeight="1" thickBot="1" x14ac:dyDescent="0.25">
      <c r="A76" s="37"/>
      <c r="B76" s="37"/>
      <c r="C76" s="1289"/>
      <c r="D76" s="1290"/>
      <c r="E76" s="1291"/>
      <c r="F76" s="681" t="e">
        <f>SQRT((F73)^2+(F74)^2+(F75)^2)</f>
        <v>#DIV/0!</v>
      </c>
      <c r="G76" s="682" t="e">
        <f t="shared" ref="G76:J76" si="13">SQRT((G73)^2+(G74)^2+(G75)^2)</f>
        <v>#DIV/0!</v>
      </c>
      <c r="H76" s="682" t="e">
        <f t="shared" si="13"/>
        <v>#DIV/0!</v>
      </c>
      <c r="I76" s="682" t="e">
        <f t="shared" si="13"/>
        <v>#DIV/0!</v>
      </c>
      <c r="J76" s="682" t="e">
        <f t="shared" si="13"/>
        <v>#DIV/0!</v>
      </c>
      <c r="K76" s="423" t="s">
        <v>52</v>
      </c>
      <c r="L76" s="7"/>
    </row>
    <row r="77" spans="1:15" ht="35.1" customHeight="1" thickBot="1" x14ac:dyDescent="0.25">
      <c r="A77" s="37"/>
      <c r="B77" s="37"/>
      <c r="C77" s="37"/>
      <c r="D77" s="37"/>
      <c r="F77" s="1241" t="s">
        <v>385</v>
      </c>
      <c r="G77" s="1242"/>
      <c r="H77" s="1242"/>
      <c r="I77" s="1242"/>
      <c r="J77" s="1243"/>
      <c r="K77" s="1"/>
    </row>
    <row r="78" spans="1:15" ht="35.1" customHeight="1" x14ac:dyDescent="0.2">
      <c r="A78" s="1170" t="s">
        <v>25</v>
      </c>
      <c r="B78" s="1171"/>
      <c r="C78" s="1168"/>
      <c r="D78" s="1168"/>
      <c r="E78" s="1169"/>
      <c r="F78" s="403" t="e">
        <f>I21/L32</f>
        <v>#N/A</v>
      </c>
      <c r="G78" s="404" t="e">
        <f>I22/L32</f>
        <v>#N/A</v>
      </c>
      <c r="H78" s="404" t="e">
        <f>I23/L32</f>
        <v>#N/A</v>
      </c>
      <c r="I78" s="404" t="e">
        <f>I24/L32</f>
        <v>#N/A</v>
      </c>
      <c r="J78" s="404" t="e">
        <f>I25/L32</f>
        <v>#N/A</v>
      </c>
      <c r="K78" s="673" t="s">
        <v>52</v>
      </c>
      <c r="L78" s="405">
        <v>100</v>
      </c>
    </row>
    <row r="79" spans="1:15" ht="35.1" customHeight="1" x14ac:dyDescent="0.2">
      <c r="A79" s="1166" t="s">
        <v>26</v>
      </c>
      <c r="B79" s="1167"/>
      <c r="C79" s="1182"/>
      <c r="D79" s="1182"/>
      <c r="E79" s="1288"/>
      <c r="F79" s="406" t="e">
        <f>(3*I21)/(4*SQRT(3))</f>
        <v>#N/A</v>
      </c>
      <c r="G79" s="46" t="e">
        <f>(3*I22)/(4*SQRT(3))</f>
        <v>#N/A</v>
      </c>
      <c r="H79" s="46" t="e">
        <f>(3*I23)/(4*SQRT(3))</f>
        <v>#N/A</v>
      </c>
      <c r="I79" s="46" t="e">
        <f>(3*I24)/(4*SQRT(3))</f>
        <v>#N/A</v>
      </c>
      <c r="J79" s="46" t="e">
        <f>(3*I25)/(4*SQRT(3))</f>
        <v>#N/A</v>
      </c>
      <c r="K79" s="36" t="s">
        <v>51</v>
      </c>
      <c r="L79" s="407">
        <v>100</v>
      </c>
    </row>
    <row r="80" spans="1:15" ht="35.1" customHeight="1" thickBot="1" x14ac:dyDescent="0.25">
      <c r="A80" s="1162" t="s">
        <v>32</v>
      </c>
      <c r="B80" s="1163"/>
      <c r="C80" s="1157"/>
      <c r="D80" s="1157"/>
      <c r="E80" s="1158"/>
      <c r="F80" s="408" t="e">
        <f>I21/SQRT(3)</f>
        <v>#N/A</v>
      </c>
      <c r="G80" s="409" t="e">
        <f>I22/SQRT(3)</f>
        <v>#N/A</v>
      </c>
      <c r="H80" s="409" t="e">
        <f>I23/SQRT(3)</f>
        <v>#N/A</v>
      </c>
      <c r="I80" s="409" t="e">
        <f>I24/SQRT(3)</f>
        <v>#N/A</v>
      </c>
      <c r="J80" s="409" t="e">
        <f>I25/SQRT(3)</f>
        <v>#N/A</v>
      </c>
      <c r="K80" s="410" t="s">
        <v>51</v>
      </c>
      <c r="L80" s="411">
        <v>100</v>
      </c>
    </row>
    <row r="81" spans="1:20" ht="35.1" customHeight="1" thickBot="1" x14ac:dyDescent="0.25">
      <c r="C81" s="1159"/>
      <c r="D81" s="1160"/>
      <c r="E81" s="1161"/>
      <c r="F81" s="412" t="e">
        <f>SQRT(F78^2+F79^2+F80^2)</f>
        <v>#N/A</v>
      </c>
      <c r="G81" s="413" t="e">
        <f t="shared" ref="G81:J81" si="14">SQRT(G78^2+G79^2+G80^2)</f>
        <v>#N/A</v>
      </c>
      <c r="H81" s="413" t="e">
        <f t="shared" si="14"/>
        <v>#N/A</v>
      </c>
      <c r="I81" s="413" t="e">
        <f t="shared" si="14"/>
        <v>#N/A</v>
      </c>
      <c r="J81" s="413" t="e">
        <f t="shared" si="14"/>
        <v>#N/A</v>
      </c>
      <c r="K81" s="414" t="s">
        <v>52</v>
      </c>
      <c r="L81" s="82"/>
      <c r="N81" s="653"/>
    </row>
    <row r="82" spans="1:20" ht="35.1" customHeight="1" thickBot="1" x14ac:dyDescent="0.25">
      <c r="C82" s="1"/>
      <c r="D82" s="1"/>
      <c r="F82" s="1154" t="s">
        <v>386</v>
      </c>
      <c r="G82" s="1155"/>
      <c r="H82" s="1155"/>
      <c r="I82" s="1155"/>
      <c r="J82" s="1156"/>
      <c r="K82" s="1"/>
      <c r="N82" s="656"/>
    </row>
    <row r="83" spans="1:20" ht="35.1" customHeight="1" thickBot="1" x14ac:dyDescent="0.25">
      <c r="B83" s="1"/>
      <c r="C83" s="396"/>
      <c r="D83" s="397"/>
      <c r="E83" s="398"/>
      <c r="F83" s="677" t="e">
        <f>SQRT((F76)^2+(F81)^2)</f>
        <v>#DIV/0!</v>
      </c>
      <c r="G83" s="678" t="e">
        <f t="shared" ref="G83:J83" si="15">SQRT((G76)^2+(G81)^2)</f>
        <v>#DIV/0!</v>
      </c>
      <c r="H83" s="678" t="e">
        <f t="shared" si="15"/>
        <v>#DIV/0!</v>
      </c>
      <c r="I83" s="678" t="e">
        <f t="shared" si="15"/>
        <v>#DIV/0!</v>
      </c>
      <c r="J83" s="679" t="e">
        <f t="shared" si="15"/>
        <v>#DIV/0!</v>
      </c>
    </row>
    <row r="84" spans="1:20" s="7" customFormat="1" ht="9.9499999999999993" customHeight="1" thickBot="1" x14ac:dyDescent="0.25">
      <c r="A84" s="47"/>
      <c r="B84" s="47"/>
      <c r="D84" s="40"/>
      <c r="F84" s="680"/>
      <c r="G84" s="680"/>
      <c r="H84" s="680"/>
      <c r="I84" s="680"/>
      <c r="J84" s="680"/>
    </row>
    <row r="85" spans="1:20" s="34" customFormat="1" ht="35.1" customHeight="1" thickBot="1" x14ac:dyDescent="0.25">
      <c r="F85" s="1275" t="s">
        <v>29</v>
      </c>
      <c r="G85" s="1276"/>
      <c r="H85" s="1276"/>
      <c r="I85" s="1276"/>
      <c r="J85" s="1277"/>
    </row>
    <row r="86" spans="1:20" ht="15.75" thickBot="1" x14ac:dyDescent="0.25">
      <c r="B86" s="1"/>
      <c r="C86" s="26"/>
      <c r="D86" s="26"/>
      <c r="F86" s="1234" t="s">
        <v>57</v>
      </c>
      <c r="G86" s="1235"/>
      <c r="H86" s="1235"/>
      <c r="I86" s="1235"/>
      <c r="J86" s="1236"/>
      <c r="N86" s="654">
        <v>0.3</v>
      </c>
      <c r="O86" s="654">
        <v>1.65</v>
      </c>
      <c r="P86" s="655"/>
      <c r="Q86" s="34"/>
      <c r="R86" s="34"/>
      <c r="S86" s="34"/>
      <c r="T86" s="34"/>
    </row>
    <row r="87" spans="1:20" ht="35.1" customHeight="1" thickBot="1" x14ac:dyDescent="0.25">
      <c r="A87" s="1147" t="s">
        <v>98</v>
      </c>
      <c r="B87" s="1148"/>
      <c r="C87" s="1148"/>
      <c r="D87" s="1152"/>
      <c r="E87" s="1152"/>
      <c r="F87" s="402">
        <v>100</v>
      </c>
      <c r="G87" s="49">
        <v>100</v>
      </c>
      <c r="H87" s="49">
        <v>100</v>
      </c>
      <c r="I87" s="49">
        <v>100</v>
      </c>
      <c r="J87" s="662">
        <v>100</v>
      </c>
      <c r="N87" s="1094" t="s">
        <v>448</v>
      </c>
      <c r="O87" s="1095"/>
      <c r="P87" s="1096"/>
      <c r="Q87" s="34"/>
      <c r="R87" s="34"/>
      <c r="S87" s="34"/>
      <c r="T87" s="34"/>
    </row>
    <row r="88" spans="1:20" ht="35.1" customHeight="1" thickBot="1" x14ac:dyDescent="0.25">
      <c r="A88" s="1145" t="s">
        <v>99</v>
      </c>
      <c r="B88" s="1146"/>
      <c r="C88" s="1146"/>
      <c r="D88" s="1153"/>
      <c r="E88" s="1153"/>
      <c r="F88" s="392">
        <f>$K$43-1</f>
        <v>9</v>
      </c>
      <c r="G88" s="48">
        <f t="shared" ref="G88:J88" si="16">$K$43-1</f>
        <v>9</v>
      </c>
      <c r="H88" s="48">
        <f t="shared" si="16"/>
        <v>9</v>
      </c>
      <c r="I88" s="48">
        <f t="shared" si="16"/>
        <v>9</v>
      </c>
      <c r="J88" s="393">
        <f t="shared" si="16"/>
        <v>9</v>
      </c>
      <c r="K88" s="660" t="s">
        <v>441</v>
      </c>
      <c r="L88" s="659" t="e">
        <f>MAX(J73:J75,J78:J80)</f>
        <v>#DIV/0!</v>
      </c>
      <c r="M88" s="645" t="e">
        <f>IF((L89)&lt;=(N86),"165","k=2")</f>
        <v>#DIV/0!</v>
      </c>
      <c r="N88" s="646" t="s">
        <v>442</v>
      </c>
      <c r="O88" s="647" t="s">
        <v>443</v>
      </c>
      <c r="P88" s="648" t="s">
        <v>444</v>
      </c>
      <c r="Q88" s="34"/>
      <c r="R88" s="34"/>
      <c r="S88" s="34"/>
      <c r="T88" s="34"/>
    </row>
    <row r="89" spans="1:20" ht="35.1" customHeight="1" thickBot="1" x14ac:dyDescent="0.25">
      <c r="A89" s="1164" t="s">
        <v>100</v>
      </c>
      <c r="B89" s="1165"/>
      <c r="C89" s="1165"/>
      <c r="D89" s="1151"/>
      <c r="E89" s="1151"/>
      <c r="F89" s="392">
        <v>100</v>
      </c>
      <c r="G89" s="48">
        <v>100</v>
      </c>
      <c r="H89" s="48">
        <v>100</v>
      </c>
      <c r="I89" s="48">
        <v>100</v>
      </c>
      <c r="J89" s="393">
        <v>100</v>
      </c>
      <c r="K89" s="661" t="s">
        <v>445</v>
      </c>
      <c r="L89" s="658" t="e">
        <f>SQRT((J73)^2+(J74)^2+J78^2+J79^2+J80^2)/J75</f>
        <v>#DIV/0!</v>
      </c>
      <c r="M89" s="649"/>
      <c r="N89" s="650" t="s">
        <v>442</v>
      </c>
      <c r="O89" s="651" t="s">
        <v>446</v>
      </c>
      <c r="P89" s="652" t="s">
        <v>447</v>
      </c>
      <c r="Q89" s="34"/>
      <c r="R89" s="34"/>
      <c r="S89" s="34"/>
      <c r="T89" s="34"/>
    </row>
    <row r="90" spans="1:20" ht="50.1" customHeight="1" thickBot="1" x14ac:dyDescent="0.25">
      <c r="B90" s="399"/>
      <c r="C90" s="400"/>
      <c r="D90" s="671"/>
      <c r="E90" s="401"/>
      <c r="F90" s="454" t="e">
        <f>F76^4/(F73^4/100+(F74^4/(K43-1))+(F75^4/100))</f>
        <v>#DIV/0!</v>
      </c>
      <c r="G90" s="455" t="e">
        <f>G76^4/(G73^4/100+(G74^4/(K43-1))+(G75^4/100))</f>
        <v>#DIV/0!</v>
      </c>
      <c r="H90" s="455" t="e">
        <f>H76^4/(H73^4/100+(H74^4/(K43-1))+(H75^4/100))</f>
        <v>#DIV/0!</v>
      </c>
      <c r="I90" s="455" t="e">
        <f>I76^4/(I73^4/100+(I74^4/(K43-1))+(I75^4/100))</f>
        <v>#DIV/0!</v>
      </c>
      <c r="J90" s="456" t="e">
        <f>J76^4/(J73^4/100+(J74^4/(K43-1))+(J75^4/100))</f>
        <v>#DIV/0!</v>
      </c>
      <c r="K90" s="1"/>
      <c r="Q90" s="34"/>
      <c r="R90" s="34"/>
      <c r="S90" s="34"/>
      <c r="T90" s="34"/>
    </row>
    <row r="91" spans="1:20" ht="35.1" customHeight="1" thickBot="1" x14ac:dyDescent="0.25">
      <c r="B91" s="1"/>
      <c r="C91" s="26"/>
      <c r="D91" s="26"/>
      <c r="E91" s="26"/>
      <c r="F91" s="1284" t="s">
        <v>56</v>
      </c>
      <c r="G91" s="1285"/>
      <c r="H91" s="1285"/>
      <c r="I91" s="1285"/>
      <c r="J91" s="1286"/>
      <c r="Q91" s="34"/>
      <c r="R91" s="34"/>
      <c r="S91" s="34"/>
      <c r="T91" s="34"/>
    </row>
    <row r="92" spans="1:20" ht="35.1" customHeight="1" x14ac:dyDescent="0.2">
      <c r="A92" s="1150" t="s">
        <v>101</v>
      </c>
      <c r="B92" s="1146"/>
      <c r="C92" s="1146"/>
      <c r="D92" s="1287"/>
      <c r="E92" s="1287"/>
      <c r="F92" s="390">
        <v>100</v>
      </c>
      <c r="G92" s="461">
        <v>100</v>
      </c>
      <c r="H92" s="461">
        <v>100</v>
      </c>
      <c r="I92" s="461">
        <v>100</v>
      </c>
      <c r="J92" s="391">
        <v>100</v>
      </c>
      <c r="Q92" s="34"/>
      <c r="R92" s="34"/>
      <c r="S92" s="34"/>
      <c r="T92" s="34"/>
    </row>
    <row r="93" spans="1:20" ht="35.1" customHeight="1" x14ac:dyDescent="0.2">
      <c r="A93" s="1150" t="s">
        <v>102</v>
      </c>
      <c r="B93" s="1146"/>
      <c r="C93" s="1146"/>
      <c r="D93" s="1287"/>
      <c r="E93" s="1287"/>
      <c r="F93" s="392">
        <v>100</v>
      </c>
      <c r="G93" s="48">
        <v>100</v>
      </c>
      <c r="H93" s="48">
        <v>100</v>
      </c>
      <c r="I93" s="48">
        <v>100</v>
      </c>
      <c r="J93" s="393">
        <v>100</v>
      </c>
      <c r="K93" s="1"/>
      <c r="Q93" s="34"/>
      <c r="R93" s="34"/>
      <c r="S93" s="34"/>
      <c r="T93" s="34"/>
    </row>
    <row r="94" spans="1:20" ht="35.1" customHeight="1" x14ac:dyDescent="0.25">
      <c r="A94" s="1150" t="s">
        <v>103</v>
      </c>
      <c r="B94" s="1146"/>
      <c r="C94" s="1146"/>
      <c r="D94" s="1287"/>
      <c r="E94" s="1287"/>
      <c r="F94" s="392">
        <v>100</v>
      </c>
      <c r="G94" s="48">
        <v>100</v>
      </c>
      <c r="H94" s="48">
        <v>100</v>
      </c>
      <c r="I94" s="48">
        <v>100</v>
      </c>
      <c r="J94" s="393">
        <v>100</v>
      </c>
      <c r="K94" s="807"/>
      <c r="Q94" s="34"/>
      <c r="R94" s="34"/>
      <c r="S94" s="34"/>
      <c r="T94" s="34"/>
    </row>
    <row r="95" spans="1:20" ht="50.1" customHeight="1" thickBot="1" x14ac:dyDescent="0.25">
      <c r="B95" s="1149"/>
      <c r="C95" s="1149"/>
      <c r="D95" s="1149"/>
      <c r="E95" s="1150"/>
      <c r="F95" s="683" t="e">
        <f>F81^4/((F78^4/100)+(F79^4/100)+(F80^4/100))</f>
        <v>#N/A</v>
      </c>
      <c r="G95" s="684" t="e">
        <f>G81^4/((G78^4/100)+(G79^4/100)+(G80^4/100))</f>
        <v>#N/A</v>
      </c>
      <c r="H95" s="684" t="e">
        <f>H81^4/((H78^4/100)+(H79^4/100)+(H80^4/100))</f>
        <v>#N/A</v>
      </c>
      <c r="I95" s="684" t="e">
        <f>I81^4/((I78^4/100)+(I79^4/100)+(I80^4/100))</f>
        <v>#N/A</v>
      </c>
      <c r="J95" s="685" t="e">
        <f>J81^4/((J78^4/100)+(J79^4/100)+(J80^4/100))</f>
        <v>#N/A</v>
      </c>
      <c r="Q95" s="34"/>
      <c r="R95" s="34"/>
      <c r="S95" s="34"/>
      <c r="T95" s="34"/>
    </row>
    <row r="96" spans="1:20" ht="35.1" customHeight="1" thickBot="1" x14ac:dyDescent="0.25">
      <c r="B96" s="1"/>
      <c r="C96" s="1"/>
      <c r="D96" s="1"/>
      <c r="E96" s="1"/>
      <c r="F96" s="1229" t="s">
        <v>30</v>
      </c>
      <c r="G96" s="1230"/>
      <c r="H96" s="1230"/>
      <c r="I96" s="1230"/>
      <c r="J96" s="1231"/>
      <c r="K96" s="1"/>
    </row>
    <row r="97" spans="1:13" ht="50.1" customHeight="1" x14ac:dyDescent="0.2">
      <c r="B97" s="7"/>
      <c r="C97" s="1181"/>
      <c r="D97" s="1182"/>
      <c r="E97" s="1183"/>
      <c r="F97" s="50" t="e">
        <f>F83^4/((F76^4/F90)+(F81^4/F95))</f>
        <v>#DIV/0!</v>
      </c>
      <c r="G97" s="51" t="e">
        <f>G83^4/((G76^4/G90)+(G81^4/G95))</f>
        <v>#DIV/0!</v>
      </c>
      <c r="H97" s="51" t="e">
        <f>H83^4/((H76^4/H90)+(H81^4/H95))</f>
        <v>#DIV/0!</v>
      </c>
      <c r="I97" s="51" t="e">
        <f>I83^4/((I76^4/I90)+(I81^4/I95))</f>
        <v>#DIV/0!</v>
      </c>
      <c r="J97" s="51" t="e">
        <f>J83^4/((J76^4/J90)+(J81^4/J95))</f>
        <v>#DIV/0!</v>
      </c>
      <c r="K97" s="1"/>
    </row>
    <row r="98" spans="1:13" s="7" customFormat="1" ht="9.9499999999999993" customHeight="1" thickBot="1" x14ac:dyDescent="0.25">
      <c r="B98" s="47"/>
      <c r="C98" s="47"/>
      <c r="E98" s="40"/>
    </row>
    <row r="99" spans="1:13" ht="35.1" customHeight="1" thickBot="1" x14ac:dyDescent="0.25">
      <c r="B99" s="1"/>
      <c r="C99" s="1"/>
      <c r="D99" s="1"/>
      <c r="E99" s="1"/>
      <c r="F99" s="1229" t="s">
        <v>31</v>
      </c>
      <c r="G99" s="1230"/>
      <c r="H99" s="1230"/>
      <c r="I99" s="1230"/>
      <c r="J99" s="1231"/>
      <c r="K99" s="1"/>
    </row>
    <row r="100" spans="1:13" ht="35.1" customHeight="1" thickBot="1" x14ac:dyDescent="0.25">
      <c r="B100" s="399"/>
      <c r="C100" s="501"/>
      <c r="D100" s="400"/>
      <c r="E100" s="398"/>
      <c r="F100" s="686" t="e">
        <f>_xlfn.T.INV.2T(100%-$I$102,F97)</f>
        <v>#DIV/0!</v>
      </c>
      <c r="G100" s="687" t="e">
        <f>_xlfn.T.INV.2T(100%-$I$102,G97)</f>
        <v>#DIV/0!</v>
      </c>
      <c r="H100" s="687" t="e">
        <f>_xlfn.T.INV.2T(100%-$I$102,H97)</f>
        <v>#DIV/0!</v>
      </c>
      <c r="I100" s="687" t="e">
        <f>_xlfn.T.INV.2T(100%-$I$102,I97)</f>
        <v>#DIV/0!</v>
      </c>
      <c r="J100" s="687" t="e">
        <f>_xlfn.T.INV.2T(100%-$I$102,J97)</f>
        <v>#DIV/0!</v>
      </c>
      <c r="K100" s="1"/>
    </row>
    <row r="101" spans="1:13" ht="9.9499999999999993" customHeight="1" thickBot="1" x14ac:dyDescent="0.25">
      <c r="K101" s="1"/>
    </row>
    <row r="102" spans="1:13" ht="35.1" customHeight="1" thickBot="1" x14ac:dyDescent="0.25">
      <c r="F102" s="1281" t="s">
        <v>58</v>
      </c>
      <c r="G102" s="1282"/>
      <c r="H102" s="1283"/>
      <c r="I102" s="502">
        <f>'DATOS '!N8</f>
        <v>0.95450000000000002</v>
      </c>
      <c r="L102" s="6"/>
    </row>
    <row r="103" spans="1:13" s="34" customFormat="1" ht="9.9499999999999993" customHeight="1" thickBot="1" x14ac:dyDescent="0.25">
      <c r="F103" s="52"/>
      <c r="G103" s="52"/>
      <c r="H103" s="52"/>
      <c r="I103" s="53"/>
      <c r="J103" s="53"/>
    </row>
    <row r="104" spans="1:13" s="34" customFormat="1" ht="35.1" customHeight="1" thickBot="1" x14ac:dyDescent="0.25">
      <c r="B104" s="1179" t="s">
        <v>346</v>
      </c>
      <c r="C104" s="1180"/>
      <c r="D104" s="1180"/>
      <c r="E104" s="77"/>
      <c r="F104" s="503" t="e">
        <f>F83*F100</f>
        <v>#DIV/0!</v>
      </c>
      <c r="G104" s="504" t="e">
        <f>G83*G100</f>
        <v>#DIV/0!</v>
      </c>
      <c r="H104" s="504" t="e">
        <f>H83*H100</f>
        <v>#DIV/0!</v>
      </c>
      <c r="I104" s="504" t="e">
        <f>I83*I100</f>
        <v>#DIV/0!</v>
      </c>
      <c r="J104" s="505" t="e">
        <f>J83*J100</f>
        <v>#DIV/0!</v>
      </c>
    </row>
    <row r="105" spans="1:13" s="34" customFormat="1" ht="35.1" customHeight="1" thickBot="1" x14ac:dyDescent="0.25">
      <c r="B105" s="1232" t="s">
        <v>347</v>
      </c>
      <c r="C105" s="1233"/>
      <c r="D105" s="1233"/>
      <c r="E105" s="85"/>
      <c r="F105" s="506" t="e">
        <f>F104/1000</f>
        <v>#DIV/0!</v>
      </c>
      <c r="G105" s="507" t="e">
        <f t="shared" ref="G105:J105" si="17">G104/1000</f>
        <v>#DIV/0!</v>
      </c>
      <c r="H105" s="507" t="e">
        <f t="shared" si="17"/>
        <v>#DIV/0!</v>
      </c>
      <c r="I105" s="508" t="e">
        <f t="shared" si="17"/>
        <v>#DIV/0!</v>
      </c>
      <c r="J105" s="509" t="e">
        <f t="shared" si="17"/>
        <v>#DIV/0!</v>
      </c>
    </row>
    <row r="106" spans="1:13" s="34" customFormat="1" ht="33" customHeight="1" thickBot="1" x14ac:dyDescent="0.25">
      <c r="E106" s="52"/>
      <c r="F106" s="52"/>
      <c r="G106" s="52"/>
      <c r="H106" s="53"/>
      <c r="I106" s="53"/>
      <c r="J106" s="54"/>
      <c r="K106" s="54"/>
      <c r="L106" s="54"/>
      <c r="M106" s="54"/>
    </row>
    <row r="107" spans="1:13" s="34" customFormat="1" ht="35.1" customHeight="1" thickBot="1" x14ac:dyDescent="0.25">
      <c r="A107" s="1229" t="s">
        <v>387</v>
      </c>
      <c r="B107" s="1230"/>
      <c r="C107" s="1230"/>
      <c r="D107" s="1230"/>
      <c r="E107" s="1230"/>
      <c r="F107" s="1230"/>
      <c r="G107" s="1231"/>
      <c r="I107" s="1224" t="s">
        <v>111</v>
      </c>
      <c r="J107" s="1225"/>
      <c r="K107" s="1226"/>
    </row>
    <row r="108" spans="1:13" s="34" customFormat="1" ht="35.1" customHeight="1" x14ac:dyDescent="0.2">
      <c r="A108" s="510" t="s">
        <v>36</v>
      </c>
      <c r="B108" s="511" t="s">
        <v>37</v>
      </c>
      <c r="C108" s="511" t="s">
        <v>120</v>
      </c>
      <c r="D108" s="511" t="s">
        <v>121</v>
      </c>
      <c r="E108" s="512" t="s">
        <v>40</v>
      </c>
      <c r="F108" s="513"/>
      <c r="G108" s="1227" t="s">
        <v>122</v>
      </c>
      <c r="I108" s="1221"/>
      <c r="J108" s="1222"/>
      <c r="K108" s="1223"/>
    </row>
    <row r="109" spans="1:13" s="34" customFormat="1" ht="35.1" customHeight="1" thickBot="1" x14ac:dyDescent="0.25">
      <c r="A109" s="514"/>
      <c r="B109" s="515"/>
      <c r="C109" s="515"/>
      <c r="D109" s="515"/>
      <c r="E109" s="516"/>
      <c r="F109" s="517"/>
      <c r="G109" s="1228"/>
      <c r="I109" s="1215"/>
      <c r="J109" s="1216"/>
      <c r="K109" s="1217"/>
    </row>
    <row r="110" spans="1:13" s="34" customFormat="1" ht="35.1" customHeight="1" x14ac:dyDescent="0.2">
      <c r="A110" s="518" t="e">
        <f>(1/F83)^2</f>
        <v>#DIV/0!</v>
      </c>
      <c r="B110" s="519" t="e">
        <f>A110*J55*L55</f>
        <v>#DIV/0!</v>
      </c>
      <c r="C110" s="519" t="e">
        <f>(J55)^2*A110</f>
        <v>#DIV/0!</v>
      </c>
      <c r="D110" s="519" t="e">
        <f>((($B$118*$E$119)+($B$119*(J55^2))))</f>
        <v>#DIV/0!</v>
      </c>
      <c r="E110" s="520" t="e">
        <f>SQRT($E$119+D110)</f>
        <v>#N/A</v>
      </c>
      <c r="F110" s="521"/>
      <c r="G110" s="522" t="e">
        <f>A110*($B$117*J55-L55)^2</f>
        <v>#DIV/0!</v>
      </c>
      <c r="I110" s="1215"/>
      <c r="J110" s="1216"/>
      <c r="K110" s="1217"/>
    </row>
    <row r="111" spans="1:13" s="34" customFormat="1" ht="35.1" customHeight="1" x14ac:dyDescent="0.2">
      <c r="A111" s="523" t="e">
        <f>(1/G83)^2</f>
        <v>#DIV/0!</v>
      </c>
      <c r="B111" s="55" t="e">
        <f>A111*J56*L56</f>
        <v>#DIV/0!</v>
      </c>
      <c r="C111" s="55" t="e">
        <f>(J56)^2*A111</f>
        <v>#DIV/0!</v>
      </c>
      <c r="D111" s="55" t="e">
        <f>$B$118*$E$119+$B$119*J56^2</f>
        <v>#DIV/0!</v>
      </c>
      <c r="E111" s="56" t="e">
        <f>SQRT($E$119+D111)</f>
        <v>#N/A</v>
      </c>
      <c r="F111" s="57"/>
      <c r="G111" s="524" t="e">
        <f>A111*($B$117*J56-L56)^2</f>
        <v>#DIV/0!</v>
      </c>
      <c r="I111" s="1215"/>
      <c r="J111" s="1216"/>
      <c r="K111" s="1217"/>
    </row>
    <row r="112" spans="1:13" s="34" customFormat="1" ht="35.1" customHeight="1" x14ac:dyDescent="0.2">
      <c r="A112" s="523" t="e">
        <f>(1/H83)^2</f>
        <v>#DIV/0!</v>
      </c>
      <c r="B112" s="55" t="e">
        <f>A112*J57*L57</f>
        <v>#DIV/0!</v>
      </c>
      <c r="C112" s="55" t="e">
        <f>(J57)^2*A112</f>
        <v>#DIV/0!</v>
      </c>
      <c r="D112" s="55" t="e">
        <f>$B$118*$E$119+$B$119*J57^2</f>
        <v>#DIV/0!</v>
      </c>
      <c r="E112" s="56" t="e">
        <f>SQRT($E$119+D112)</f>
        <v>#N/A</v>
      </c>
      <c r="F112" s="58"/>
      <c r="G112" s="524" t="e">
        <f>A112*($B$117*J57-L57)^2</f>
        <v>#DIV/0!</v>
      </c>
      <c r="I112" s="1215"/>
      <c r="J112" s="1216"/>
      <c r="K112" s="1217"/>
    </row>
    <row r="113" spans="1:12" s="34" customFormat="1" ht="35.1" customHeight="1" x14ac:dyDescent="0.2">
      <c r="A113" s="523" t="e">
        <f>(1/I83)^2</f>
        <v>#DIV/0!</v>
      </c>
      <c r="B113" s="55" t="e">
        <f>A113*J58*L58</f>
        <v>#DIV/0!</v>
      </c>
      <c r="C113" s="55" t="e">
        <f>(J58)^2*A113</f>
        <v>#DIV/0!</v>
      </c>
      <c r="D113" s="55" t="e">
        <f>$B$118*$E$119+$B$119*J58^2</f>
        <v>#DIV/0!</v>
      </c>
      <c r="E113" s="56" t="e">
        <f>SQRT($E$119+D113)</f>
        <v>#N/A</v>
      </c>
      <c r="F113" s="57"/>
      <c r="G113" s="524" t="e">
        <f>A113*($B$117*J58-L58)^2</f>
        <v>#DIV/0!</v>
      </c>
      <c r="I113" s="1215"/>
      <c r="J113" s="1216"/>
      <c r="K113" s="1217"/>
    </row>
    <row r="114" spans="1:12" s="34" customFormat="1" ht="35.1" customHeight="1" thickBot="1" x14ac:dyDescent="0.25">
      <c r="A114" s="523" t="e">
        <f>(1/J83)^2</f>
        <v>#DIV/0!</v>
      </c>
      <c r="B114" s="55" t="e">
        <f>A114*J59*L59</f>
        <v>#DIV/0!</v>
      </c>
      <c r="C114" s="55" t="e">
        <f>(J59)^2*A114</f>
        <v>#DIV/0!</v>
      </c>
      <c r="D114" s="55" t="e">
        <f>$B$118*$E$119+$B$119*J59^2</f>
        <v>#DIV/0!</v>
      </c>
      <c r="E114" s="529" t="e">
        <f>SQRT($E$119+D114)</f>
        <v>#N/A</v>
      </c>
      <c r="F114" s="530"/>
      <c r="G114" s="524" t="e">
        <f>A114*($B$117*J59-L59)^2</f>
        <v>#DIV/0!</v>
      </c>
      <c r="I114" s="1215"/>
      <c r="J114" s="1216"/>
      <c r="K114" s="1217"/>
    </row>
    <row r="115" spans="1:12" s="6" customFormat="1" ht="27" customHeight="1" thickBot="1" x14ac:dyDescent="0.3">
      <c r="A115" s="525" t="s">
        <v>38</v>
      </c>
      <c r="B115" s="526" t="e">
        <f t="shared" ref="B115" si="18">SUM(B110:B114)</f>
        <v>#DIV/0!</v>
      </c>
      <c r="C115" s="526" t="e">
        <f>SUM(C110:C114)</f>
        <v>#DIV/0!</v>
      </c>
      <c r="D115" s="527"/>
      <c r="E115" s="531" t="s">
        <v>123</v>
      </c>
      <c r="F115" s="532"/>
      <c r="G115" s="528" t="e">
        <f>SUM(G110:G114)</f>
        <v>#DIV/0!</v>
      </c>
      <c r="I115" s="1218"/>
      <c r="J115" s="1219"/>
      <c r="K115" s="1220"/>
    </row>
    <row r="116" spans="1:12" s="6" customFormat="1" ht="9.9499999999999993" customHeight="1" thickBot="1" x14ac:dyDescent="0.25">
      <c r="B116" s="59"/>
      <c r="C116" s="59"/>
      <c r="D116" s="59"/>
      <c r="E116" s="59"/>
      <c r="F116" s="59"/>
      <c r="G116" s="59"/>
    </row>
    <row r="117" spans="1:12" ht="35.1" customHeight="1" thickBot="1" x14ac:dyDescent="0.25">
      <c r="A117" s="554" t="s">
        <v>124</v>
      </c>
      <c r="B117" s="552" t="e">
        <f>(B115/C115)</f>
        <v>#DIV/0!</v>
      </c>
      <c r="C117" s="538"/>
      <c r="D117" s="538"/>
      <c r="E117" s="538"/>
      <c r="F117" s="546" t="s">
        <v>43</v>
      </c>
      <c r="G117" s="543">
        <v>2</v>
      </c>
      <c r="I117" s="533"/>
      <c r="J117" s="534"/>
      <c r="K117" s="535"/>
    </row>
    <row r="118" spans="1:12" ht="35.1" customHeight="1" thickBot="1" x14ac:dyDescent="0.25">
      <c r="A118" s="553" t="s">
        <v>125</v>
      </c>
      <c r="B118" s="544" t="e">
        <f>B117^2</f>
        <v>#DIV/0!</v>
      </c>
      <c r="C118" s="672" t="s">
        <v>126</v>
      </c>
      <c r="D118" s="532"/>
      <c r="E118" s="549" t="e">
        <f>F48^2</f>
        <v>#DIV/0!</v>
      </c>
      <c r="F118" s="547" t="s">
        <v>44</v>
      </c>
      <c r="G118" s="542">
        <f>G26</f>
        <v>3</v>
      </c>
      <c r="I118" s="536" t="e">
        <f>ABS(G115-G118)</f>
        <v>#DIV/0!</v>
      </c>
      <c r="J118" s="60" t="s">
        <v>39</v>
      </c>
      <c r="K118" s="537">
        <f>G117*SQRT(2*G118)</f>
        <v>4.8989794855663558</v>
      </c>
    </row>
    <row r="119" spans="1:12" ht="35.1" customHeight="1" thickBot="1" x14ac:dyDescent="0.25">
      <c r="A119" s="539" t="s">
        <v>107</v>
      </c>
      <c r="B119" s="540" t="e">
        <f>1/C115</f>
        <v>#DIV/0!</v>
      </c>
      <c r="C119" s="550" t="s">
        <v>127</v>
      </c>
      <c r="D119" s="551"/>
      <c r="E119" s="545" t="e">
        <f>((D14*1000)^2)/6+E118</f>
        <v>#N/A</v>
      </c>
      <c r="F119" s="548" t="s">
        <v>64</v>
      </c>
      <c r="G119" s="385" t="e">
        <f>MAX(F100:J100)</f>
        <v>#DIV/0!</v>
      </c>
      <c r="H119" s="541">
        <f>'DATOS '!M8</f>
        <v>2</v>
      </c>
      <c r="I119" s="1174" t="e">
        <f>IF(I118&lt;=K118,"APROBADO","NO APROBADO")</f>
        <v>#DIV/0!</v>
      </c>
      <c r="J119" s="1175"/>
      <c r="K119" s="1176"/>
    </row>
    <row r="120" spans="1:12" ht="9.9499999999999993" customHeight="1" thickBot="1" x14ac:dyDescent="0.25"/>
    <row r="121" spans="1:12" ht="35.1" customHeight="1" thickBot="1" x14ac:dyDescent="0.25">
      <c r="A121" s="1272" t="s">
        <v>106</v>
      </c>
      <c r="B121" s="1273"/>
      <c r="C121" s="1273"/>
      <c r="D121" s="1273"/>
      <c r="E121" s="1273"/>
      <c r="F121" s="1273"/>
      <c r="G121" s="1273"/>
      <c r="H121" s="1273"/>
      <c r="I121" s="1273"/>
      <c r="J121" s="1273"/>
      <c r="K121" s="1273"/>
      <c r="L121" s="1274"/>
    </row>
    <row r="122" spans="1:12" ht="35.1" customHeight="1" x14ac:dyDescent="0.2">
      <c r="C122" s="555" t="s">
        <v>41</v>
      </c>
      <c r="D122" s="556" t="e">
        <f>SLOPE(E110:E114,G21:G25)</f>
        <v>#N/A</v>
      </c>
      <c r="E122" s="1267" t="s">
        <v>108</v>
      </c>
      <c r="F122" s="1268"/>
      <c r="G122" s="557" t="s">
        <v>73</v>
      </c>
      <c r="H122" s="558">
        <v>5</v>
      </c>
      <c r="I122" s="1"/>
      <c r="K122" s="1"/>
    </row>
    <row r="123" spans="1:12" ht="35.1" customHeight="1" thickBot="1" x14ac:dyDescent="0.25">
      <c r="C123" s="559" t="s">
        <v>42</v>
      </c>
      <c r="D123" s="429" t="e">
        <f>INTERCEPT(E110:E114,G21:G25)</f>
        <v>#N/A</v>
      </c>
      <c r="E123" s="1265" t="s">
        <v>109</v>
      </c>
      <c r="F123" s="1266"/>
      <c r="G123" s="560" t="s">
        <v>74</v>
      </c>
      <c r="H123" s="561" t="e">
        <f>D122*H122+D123</f>
        <v>#N/A</v>
      </c>
    </row>
    <row r="124" spans="1:12" ht="35.1" customHeight="1" thickBot="1" x14ac:dyDescent="0.25">
      <c r="L124" s="6"/>
    </row>
    <row r="125" spans="1:12" ht="35.1" customHeight="1" thickBot="1" x14ac:dyDescent="0.25">
      <c r="J125" s="388" t="s">
        <v>68</v>
      </c>
      <c r="K125" s="389" t="s">
        <v>430</v>
      </c>
    </row>
    <row r="126" spans="1:12" ht="35.1" customHeight="1" x14ac:dyDescent="0.2">
      <c r="J126" s="390" t="e">
        <f>G21</f>
        <v>#N/A</v>
      </c>
      <c r="K126" s="391" t="e">
        <f>E110</f>
        <v>#N/A</v>
      </c>
    </row>
    <row r="127" spans="1:12" ht="35.1" customHeight="1" x14ac:dyDescent="0.2">
      <c r="I127" s="14"/>
      <c r="J127" s="392" t="e">
        <f>G22</f>
        <v>#N/A</v>
      </c>
      <c r="K127" s="393" t="e">
        <f>E111</f>
        <v>#N/A</v>
      </c>
      <c r="L127" s="657"/>
    </row>
    <row r="128" spans="1:12" ht="35.1" customHeight="1" x14ac:dyDescent="0.2">
      <c r="I128" s="14"/>
      <c r="J128" s="392" t="e">
        <f>G23</f>
        <v>#N/A</v>
      </c>
      <c r="K128" s="393" t="e">
        <f>E112</f>
        <v>#N/A</v>
      </c>
    </row>
    <row r="129" spans="1:20" ht="35.1" customHeight="1" x14ac:dyDescent="0.2">
      <c r="I129" s="14"/>
      <c r="J129" s="392" t="e">
        <f>G24</f>
        <v>#N/A</v>
      </c>
      <c r="K129" s="393" t="e">
        <f>E113</f>
        <v>#N/A</v>
      </c>
    </row>
    <row r="130" spans="1:20" ht="35.1" customHeight="1" thickBot="1" x14ac:dyDescent="0.25">
      <c r="A130" s="61"/>
      <c r="I130" s="14"/>
      <c r="J130" s="394" t="e">
        <f>G25</f>
        <v>#N/A</v>
      </c>
      <c r="K130" s="395" t="e">
        <f>E114</f>
        <v>#N/A</v>
      </c>
    </row>
    <row r="131" spans="1:20" ht="35.1" customHeight="1" x14ac:dyDescent="0.2">
      <c r="A131" s="61"/>
      <c r="I131" s="14"/>
      <c r="J131" s="14"/>
      <c r="K131" s="14"/>
      <c r="L131" s="14"/>
    </row>
    <row r="132" spans="1:20" ht="9.9499999999999993" customHeight="1" thickBot="1" x14ac:dyDescent="0.25">
      <c r="A132" s="61"/>
      <c r="I132" s="62"/>
      <c r="J132" s="62"/>
      <c r="K132" s="62"/>
      <c r="L132" s="62"/>
    </row>
    <row r="133" spans="1:20" s="6" customFormat="1" ht="35.1" customHeight="1" thickBot="1" x14ac:dyDescent="0.25">
      <c r="B133" s="562" t="s">
        <v>128</v>
      </c>
      <c r="C133" s="563"/>
      <c r="D133" s="705" t="e">
        <f>B117*E118</f>
        <v>#DIV/0!</v>
      </c>
      <c r="E133" s="564" t="s">
        <v>69</v>
      </c>
      <c r="F133" s="563" t="s">
        <v>129</v>
      </c>
      <c r="G133" s="704" t="e">
        <f>B119</f>
        <v>#DIV/0!</v>
      </c>
      <c r="I133" s="14"/>
      <c r="J133" s="14"/>
      <c r="K133" s="14"/>
      <c r="L133" s="14"/>
      <c r="M133" s="1"/>
      <c r="N133" s="1"/>
      <c r="O133" s="1"/>
      <c r="P133" s="1"/>
      <c r="Q133" s="1"/>
      <c r="R133" s="1"/>
      <c r="S133" s="1"/>
      <c r="T133" s="1"/>
    </row>
    <row r="134" spans="1:20" s="6" customFormat="1" ht="9.9499999999999993" customHeight="1" thickBot="1" x14ac:dyDescent="0.25">
      <c r="A134" s="1"/>
      <c r="D134" s="63"/>
      <c r="E134" s="64"/>
      <c r="M134" s="1"/>
      <c r="N134" s="1"/>
      <c r="O134" s="1"/>
      <c r="P134" s="1"/>
      <c r="Q134" s="1"/>
      <c r="R134" s="1"/>
      <c r="S134" s="1"/>
      <c r="T134" s="1"/>
    </row>
    <row r="135" spans="1:20" ht="35.1" customHeight="1" thickBot="1" x14ac:dyDescent="0.25">
      <c r="A135" s="1269" t="s">
        <v>71</v>
      </c>
      <c r="B135" s="1270"/>
      <c r="C135" s="1270"/>
      <c r="D135" s="1270"/>
      <c r="E135" s="1270"/>
      <c r="F135" s="1270"/>
      <c r="G135" s="1270"/>
      <c r="H135" s="1270"/>
      <c r="I135" s="1270"/>
      <c r="J135" s="1270"/>
      <c r="K135" s="1270"/>
      <c r="L135" s="1271"/>
    </row>
    <row r="136" spans="1:20" ht="35.1" customHeight="1" x14ac:dyDescent="0.2">
      <c r="B136" s="1172" t="s">
        <v>65</v>
      </c>
      <c r="C136" s="1173"/>
      <c r="D136" s="1173"/>
      <c r="E136" s="565" t="s">
        <v>116</v>
      </c>
      <c r="F136" s="629" t="e">
        <f>B117</f>
        <v>#DIV/0!</v>
      </c>
      <c r="G136" s="690" t="s">
        <v>365</v>
      </c>
      <c r="H136" s="1"/>
      <c r="K136" s="1"/>
    </row>
    <row r="137" spans="1:20" ht="35.25" customHeight="1" thickBot="1" x14ac:dyDescent="0.25">
      <c r="B137" s="1263" t="s">
        <v>65</v>
      </c>
      <c r="C137" s="1264"/>
      <c r="D137" s="1264"/>
      <c r="E137" s="703" t="s">
        <v>366</v>
      </c>
      <c r="F137" s="692" t="e">
        <f>F136/1000</f>
        <v>#DIV/0!</v>
      </c>
      <c r="G137" s="691" t="s">
        <v>70</v>
      </c>
      <c r="H137" s="1"/>
      <c r="K137" s="1"/>
    </row>
    <row r="138" spans="1:20" ht="9.9499999999999993" customHeight="1" thickBot="1" x14ac:dyDescent="0.25">
      <c r="K138" s="1"/>
    </row>
    <row r="139" spans="1:20" ht="35.1" customHeight="1" x14ac:dyDescent="0.2">
      <c r="B139" s="1172" t="s">
        <v>66</v>
      </c>
      <c r="C139" s="1173"/>
      <c r="D139" s="1173"/>
      <c r="E139" s="674" t="s">
        <v>72</v>
      </c>
      <c r="F139" s="566" t="e">
        <f>D123*H119</f>
        <v>#N/A</v>
      </c>
      <c r="G139" s="567" t="s">
        <v>69</v>
      </c>
      <c r="H139" s="568" t="e">
        <f>D122*H119</f>
        <v>#N/A</v>
      </c>
      <c r="I139" s="688" t="s">
        <v>365</v>
      </c>
      <c r="J139" s="1"/>
      <c r="K139" s="1"/>
    </row>
    <row r="140" spans="1:20" ht="35.1" customHeight="1" thickBot="1" x14ac:dyDescent="0.25">
      <c r="B140" s="1139" t="s">
        <v>66</v>
      </c>
      <c r="C140" s="1140"/>
      <c r="D140" s="1140"/>
      <c r="E140" s="702" t="s">
        <v>355</v>
      </c>
      <c r="F140" s="684" t="e">
        <f>F139/1000</f>
        <v>#N/A</v>
      </c>
      <c r="G140" s="569" t="s">
        <v>69</v>
      </c>
      <c r="H140" s="693" t="e">
        <f>H139/1000</f>
        <v>#N/A</v>
      </c>
      <c r="I140" s="689" t="s">
        <v>70</v>
      </c>
      <c r="J140" s="1"/>
      <c r="K140" s="1"/>
    </row>
    <row r="141" spans="1:20" ht="15" customHeight="1" x14ac:dyDescent="0.2">
      <c r="J141" s="1"/>
      <c r="K141" s="1"/>
    </row>
    <row r="142" spans="1:20" ht="15" customHeight="1" x14ac:dyDescent="0.2">
      <c r="H142" s="63"/>
    </row>
    <row r="143" spans="1:20" ht="15" customHeight="1" x14ac:dyDescent="0.2"/>
    <row r="144" spans="1:20" ht="15" customHeight="1" x14ac:dyDescent="0.2"/>
  </sheetData>
  <sheetProtection algorithmName="SHA-512" hashValue="J0QaxEVskbGq58TUC78YibM2O1OqTuRXoYwCf3DzIZgOHArCRMxLZmY9LvWNgPoJ8wtiR629WZMz+lfu23tuuA==" saltValue="RH/Isg8ekgzlwrtKRrWsmg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15">
    <mergeCell ref="C1:P3"/>
    <mergeCell ref="B137:D137"/>
    <mergeCell ref="B139:D139"/>
    <mergeCell ref="E123:F123"/>
    <mergeCell ref="E122:F122"/>
    <mergeCell ref="A135:L135"/>
    <mergeCell ref="A121:L121"/>
    <mergeCell ref="G53:L53"/>
    <mergeCell ref="F85:J85"/>
    <mergeCell ref="I111:K111"/>
    <mergeCell ref="B72:D72"/>
    <mergeCell ref="F102:H102"/>
    <mergeCell ref="F96:J96"/>
    <mergeCell ref="F91:J91"/>
    <mergeCell ref="A92:C92"/>
    <mergeCell ref="A93:C93"/>
    <mergeCell ref="A94:C94"/>
    <mergeCell ref="D92:E92"/>
    <mergeCell ref="D93:E93"/>
    <mergeCell ref="D94:E94"/>
    <mergeCell ref="C79:E79"/>
    <mergeCell ref="C76:E76"/>
    <mergeCell ref="C75:E75"/>
    <mergeCell ref="I110:K110"/>
    <mergeCell ref="F72:J72"/>
    <mergeCell ref="B31:I31"/>
    <mergeCell ref="B33:G33"/>
    <mergeCell ref="F86:J86"/>
    <mergeCell ref="B52:L52"/>
    <mergeCell ref="F29:G29"/>
    <mergeCell ref="B61:I61"/>
    <mergeCell ref="K64:L64"/>
    <mergeCell ref="F77:J77"/>
    <mergeCell ref="F69:J69"/>
    <mergeCell ref="B64:C64"/>
    <mergeCell ref="B65:C65"/>
    <mergeCell ref="A73:E73"/>
    <mergeCell ref="A74:E74"/>
    <mergeCell ref="I113:K113"/>
    <mergeCell ref="I114:K114"/>
    <mergeCell ref="I115:K115"/>
    <mergeCell ref="A75:B75"/>
    <mergeCell ref="I108:K108"/>
    <mergeCell ref="I109:K109"/>
    <mergeCell ref="I107:K107"/>
    <mergeCell ref="G108:G109"/>
    <mergeCell ref="A107:G107"/>
    <mergeCell ref="F99:J99"/>
    <mergeCell ref="B105:D105"/>
    <mergeCell ref="I112:K112"/>
    <mergeCell ref="B15:C15"/>
    <mergeCell ref="G15:H15"/>
    <mergeCell ref="I15:J15"/>
    <mergeCell ref="H19:H20"/>
    <mergeCell ref="I19:I20"/>
    <mergeCell ref="J19:J20"/>
    <mergeCell ref="B41:K41"/>
    <mergeCell ref="B17:J17"/>
    <mergeCell ref="G18:J18"/>
    <mergeCell ref="G19:G20"/>
    <mergeCell ref="K28:K29"/>
    <mergeCell ref="D20:F21"/>
    <mergeCell ref="D18:D19"/>
    <mergeCell ref="F18:F19"/>
    <mergeCell ref="D23:F23"/>
    <mergeCell ref="C24:D24"/>
    <mergeCell ref="B18:C20"/>
    <mergeCell ref="B140:D140"/>
    <mergeCell ref="B13:C13"/>
    <mergeCell ref="G13:H13"/>
    <mergeCell ref="B14:C14"/>
    <mergeCell ref="A88:C88"/>
    <mergeCell ref="A87:C87"/>
    <mergeCell ref="B95:E95"/>
    <mergeCell ref="D89:E89"/>
    <mergeCell ref="D87:E87"/>
    <mergeCell ref="D88:E88"/>
    <mergeCell ref="F82:J82"/>
    <mergeCell ref="C80:E80"/>
    <mergeCell ref="C81:E81"/>
    <mergeCell ref="A80:B80"/>
    <mergeCell ref="A89:C89"/>
    <mergeCell ref="A79:B79"/>
    <mergeCell ref="C78:E78"/>
    <mergeCell ref="A78:B78"/>
    <mergeCell ref="B136:D136"/>
    <mergeCell ref="I119:K119"/>
    <mergeCell ref="K62:L62"/>
    <mergeCell ref="B104:D104"/>
    <mergeCell ref="C97:E97"/>
    <mergeCell ref="G14:H14"/>
    <mergeCell ref="N87:P87"/>
    <mergeCell ref="J5:J6"/>
    <mergeCell ref="A1:B3"/>
    <mergeCell ref="B53:E53"/>
    <mergeCell ref="A67:L67"/>
    <mergeCell ref="B42:J42"/>
    <mergeCell ref="B12:C12"/>
    <mergeCell ref="G9:J9"/>
    <mergeCell ref="I10:J10"/>
    <mergeCell ref="G10:H10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B29:C29"/>
    <mergeCell ref="B21:C23"/>
    <mergeCell ref="G12:H12"/>
  </mergeCells>
  <conditionalFormatting sqref="I119">
    <cfRule type="cellIs" dxfId="0" priority="1" operator="greaterThan">
      <formula>$I$118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39" orientation="portrait" r:id="rId3"/>
  <headerFooter>
    <oddFooter>&amp;RRT03-F12 Vr.6(2019-05-15)
Página &amp;P de 3</oddFooter>
  </headerFooter>
  <rowBreaks count="2" manualBreakCount="2">
    <brk id="50" max="16383" man="1"/>
    <brk id="97" max="15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'DATOS '!$C$27:$C$88</xm:f>
          </x14:formula1>
          <xm:sqref>E24 K21:K24</xm:sqref>
        </x14:dataValidation>
        <x14:dataValidation type="list" allowBlank="1" showInputMessage="1" showErrorMessage="1">
          <x14:formula1>
            <xm:f>'DATOS '!$C$7:$C$9</xm:f>
          </x14:formula1>
          <xm:sqref>J5:J6</xm:sqref>
        </x14:dataValidation>
        <x14:dataValidation type="list" allowBlank="1" showInputMessage="1" showErrorMessage="1">
          <x14:formula1>
            <xm:f>'DATOS '!$C$16:$C$22</xm:f>
          </x14:formula1>
          <xm:sqref>F8</xm:sqref>
        </x14:dataValidation>
        <x14:dataValidation type="list" allowBlank="1" showInputMessage="1" showErrorMessage="1">
          <x14:formula1>
            <xm:f>'DATOS '!$B$27:$B$88</xm:f>
          </x14:formula1>
          <xm:sqref>K10</xm:sqref>
        </x14:dataValidation>
        <x14:dataValidation type="list" allowBlank="1" showInputMessage="1" showErrorMessage="1">
          <x14:formula1>
            <xm:f>'DATOS '!$K$27:$K$45</xm:f>
          </x14:formula1>
          <xm:sqref>E19</xm:sqref>
        </x14:dataValidation>
        <x14:dataValidation type="list" allowBlank="1" showInputMessage="1" showErrorMessage="1">
          <x14:formula1>
            <xm:f>'DATOS '!$L$27:$L$52</xm:f>
          </x14:formula1>
          <xm:sqref>D22:F22</xm:sqref>
        </x14:dataValidation>
        <x14:dataValidation type="list" allowBlank="1" showInputMessage="1" showErrorMessage="1">
          <x14:formula1>
            <xm:f>'DATOS '!$G$160:$G$165</xm:f>
          </x14:formula1>
          <xm:sqref>K28:K29</xm:sqref>
        </x14:dataValidation>
        <x14:dataValidation type="list" allowBlank="1" showInputMessage="1" showErrorMessage="1">
          <x14:formula1>
            <xm:f>'DATOS '!$A$156:$A$159</xm:f>
          </x14:formula1>
          <xm:sqref>K62:L62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74"/>
  <sheetViews>
    <sheetView showGridLines="0" tabSelected="1" showRuler="0" showWhiteSpace="0" view="pageBreakPreview" topLeftCell="A4" zoomScale="110" zoomScaleNormal="110" zoomScaleSheetLayoutView="110" zoomScalePageLayoutView="85" workbookViewId="0">
      <selection activeCell="K141" sqref="K141"/>
    </sheetView>
  </sheetViews>
  <sheetFormatPr baseColWidth="10" defaultRowHeight="15" customHeight="1" x14ac:dyDescent="0.2"/>
  <cols>
    <col min="1" max="6" width="17.7109375" style="86" customWidth="1"/>
    <col min="7" max="16384" width="11.42578125" style="86"/>
  </cols>
  <sheetData>
    <row r="1" spans="1:6" ht="120" customHeight="1" x14ac:dyDescent="0.2">
      <c r="A1" s="706"/>
      <c r="B1" s="706"/>
      <c r="C1" s="707"/>
      <c r="D1" s="707"/>
      <c r="E1" s="707"/>
      <c r="F1" s="707"/>
    </row>
    <row r="2" spans="1:6" ht="18" customHeight="1" x14ac:dyDescent="0.2">
      <c r="A2" s="89"/>
      <c r="B2" s="89"/>
      <c r="D2" s="1300" t="s">
        <v>398</v>
      </c>
      <c r="E2" s="1300"/>
      <c r="F2" s="708" t="e">
        <f>'RT03-F12'!I6</f>
        <v>#N/A</v>
      </c>
    </row>
    <row r="3" spans="1:6" ht="20.100000000000001" customHeight="1" x14ac:dyDescent="0.2">
      <c r="A3" s="1296" t="s">
        <v>76</v>
      </c>
      <c r="B3" s="1296"/>
      <c r="C3" s="1296"/>
    </row>
    <row r="4" spans="1:6" ht="12" customHeight="1" x14ac:dyDescent="0.2">
      <c r="A4" s="709"/>
      <c r="B4" s="710"/>
      <c r="C4" s="710"/>
      <c r="D4" s="710"/>
      <c r="E4" s="710"/>
      <c r="F4" s="710"/>
    </row>
    <row r="5" spans="1:6" ht="20.100000000000001" customHeight="1" x14ac:dyDescent="0.2">
      <c r="A5" s="1295" t="s">
        <v>384</v>
      </c>
      <c r="B5" s="1295"/>
      <c r="C5" s="1299" t="e">
        <f>'RT03-F12'!G6</f>
        <v>#N/A</v>
      </c>
      <c r="D5" s="1295"/>
      <c r="E5" s="1295"/>
      <c r="F5" s="1295"/>
    </row>
    <row r="6" spans="1:6" ht="20.100000000000001" customHeight="1" x14ac:dyDescent="0.2">
      <c r="A6" s="1295" t="s">
        <v>77</v>
      </c>
      <c r="B6" s="1295"/>
      <c r="C6" s="1299" t="e">
        <f>'RT03-F12'!H6</f>
        <v>#N/A</v>
      </c>
      <c r="D6" s="1299"/>
      <c r="E6" s="711"/>
      <c r="F6" s="711"/>
    </row>
    <row r="7" spans="1:6" ht="20.100000000000001" customHeight="1" x14ac:dyDescent="0.2">
      <c r="A7" s="1295" t="s">
        <v>78</v>
      </c>
      <c r="B7" s="1295"/>
      <c r="C7" s="1299" t="e">
        <f>'RT03-F12'!B6</f>
        <v>#N/A</v>
      </c>
      <c r="D7" s="1295"/>
      <c r="E7" s="712"/>
      <c r="F7" s="712"/>
    </row>
    <row r="8" spans="1:6" ht="15" customHeight="1" x14ac:dyDescent="0.2">
      <c r="A8" s="713"/>
      <c r="B8" s="713"/>
      <c r="C8" s="714"/>
      <c r="D8" s="713"/>
      <c r="E8" s="715"/>
      <c r="F8" s="715"/>
    </row>
    <row r="9" spans="1:6" ht="15" customHeight="1" x14ac:dyDescent="0.2">
      <c r="A9" s="1295" t="s">
        <v>79</v>
      </c>
      <c r="B9" s="1295"/>
      <c r="C9" s="716" t="e">
        <f>'RT03-F12'!C6</f>
        <v>#N/A</v>
      </c>
      <c r="D9" s="1301" t="s">
        <v>81</v>
      </c>
      <c r="E9" s="1301"/>
      <c r="F9" s="716" t="e">
        <f>'RT03-F12'!F6</f>
        <v>#N/A</v>
      </c>
    </row>
    <row r="10" spans="1:6" ht="15" customHeight="1" x14ac:dyDescent="0.2">
      <c r="A10" s="713"/>
      <c r="B10" s="713"/>
      <c r="C10" s="716"/>
      <c r="D10" s="717"/>
      <c r="E10" s="717"/>
      <c r="F10" s="716"/>
    </row>
    <row r="11" spans="1:6" ht="20.100000000000001" customHeight="1" x14ac:dyDescent="0.2">
      <c r="A11" s="1296" t="s">
        <v>449</v>
      </c>
      <c r="B11" s="1296"/>
      <c r="C11" s="1296"/>
      <c r="D11" s="1296"/>
      <c r="E11" s="1296"/>
      <c r="F11" s="1296"/>
    </row>
    <row r="12" spans="1:6" ht="12" customHeight="1" x14ac:dyDescent="0.2">
      <c r="A12" s="718"/>
      <c r="B12" s="718"/>
      <c r="C12" s="718"/>
      <c r="D12" s="718"/>
      <c r="E12" s="715"/>
      <c r="F12" s="715"/>
    </row>
    <row r="13" spans="1:6" ht="20.100000000000001" customHeight="1" x14ac:dyDescent="0.2">
      <c r="A13" s="719" t="s">
        <v>481</v>
      </c>
      <c r="B13" s="719"/>
      <c r="C13" s="1294" t="s">
        <v>450</v>
      </c>
      <c r="D13" s="1294"/>
      <c r="E13" s="715"/>
      <c r="F13" s="715"/>
    </row>
    <row r="14" spans="1:6" ht="20.100000000000001" customHeight="1" x14ac:dyDescent="0.2">
      <c r="A14" s="719" t="s">
        <v>482</v>
      </c>
      <c r="B14" s="719"/>
      <c r="C14" s="1295" t="e">
        <f>'RT03-F12'!D9</f>
        <v>#N/A</v>
      </c>
      <c r="D14" s="1295"/>
      <c r="E14" s="715"/>
      <c r="F14" s="715"/>
    </row>
    <row r="15" spans="1:6" ht="20.100000000000001" customHeight="1" x14ac:dyDescent="0.2">
      <c r="A15" s="1295" t="s">
        <v>483</v>
      </c>
      <c r="B15" s="1295"/>
      <c r="C15" s="1295" t="e">
        <f>'RT03-F12'!D11</f>
        <v>#N/A</v>
      </c>
      <c r="D15" s="1295"/>
      <c r="E15" s="715"/>
      <c r="F15" s="715"/>
    </row>
    <row r="16" spans="1:6" ht="20.100000000000001" customHeight="1" x14ac:dyDescent="0.2">
      <c r="A16" s="719" t="s">
        <v>484</v>
      </c>
      <c r="B16" s="719"/>
      <c r="C16" s="1295" t="e">
        <f>'RT03-F12'!D10</f>
        <v>#N/A</v>
      </c>
      <c r="D16" s="1295"/>
      <c r="E16" s="715"/>
      <c r="F16" s="715"/>
    </row>
    <row r="17" spans="1:6" ht="20.100000000000001" customHeight="1" x14ac:dyDescent="0.2">
      <c r="A17" s="1295" t="s">
        <v>485</v>
      </c>
      <c r="B17" s="1295"/>
      <c r="C17" s="720" t="e">
        <f>'RT03-F12'!D12</f>
        <v>#N/A</v>
      </c>
      <c r="D17" s="713" t="s">
        <v>85</v>
      </c>
      <c r="E17" s="713"/>
      <c r="F17" s="713"/>
    </row>
    <row r="18" spans="1:6" ht="20.100000000000001" customHeight="1" x14ac:dyDescent="0.2">
      <c r="A18" s="1295" t="s">
        <v>486</v>
      </c>
      <c r="B18" s="1295"/>
      <c r="C18" s="720" t="e">
        <f>'RT03-F12'!D13</f>
        <v>#N/A</v>
      </c>
      <c r="D18" s="713" t="s">
        <v>85</v>
      </c>
      <c r="E18" s="713"/>
      <c r="F18" s="713"/>
    </row>
    <row r="19" spans="1:6" ht="20.100000000000001" customHeight="1" x14ac:dyDescent="0.2">
      <c r="A19" s="1295" t="s">
        <v>487</v>
      </c>
      <c r="B19" s="1295"/>
      <c r="C19" s="721" t="e">
        <f>'RT03-F12'!D14</f>
        <v>#N/A</v>
      </c>
      <c r="D19" s="713" t="s">
        <v>85</v>
      </c>
      <c r="E19" s="713"/>
      <c r="F19" s="713"/>
    </row>
    <row r="20" spans="1:6" ht="20.100000000000001" customHeight="1" x14ac:dyDescent="0.2">
      <c r="A20" s="1295" t="s">
        <v>488</v>
      </c>
      <c r="B20" s="1295"/>
      <c r="C20" s="805" t="e">
        <f>'RT03-F12'!D15</f>
        <v>#N/A</v>
      </c>
      <c r="D20" s="713" t="s">
        <v>85</v>
      </c>
      <c r="E20" s="713"/>
      <c r="F20" s="713"/>
    </row>
    <row r="22" spans="1:6" ht="20.100000000000001" customHeight="1" x14ac:dyDescent="0.2">
      <c r="A22" s="1296" t="s">
        <v>451</v>
      </c>
      <c r="B22" s="1296"/>
      <c r="C22" s="1296"/>
      <c r="D22" s="1296"/>
      <c r="E22" s="1296"/>
      <c r="F22" s="1296"/>
    </row>
    <row r="23" spans="1:6" ht="12" customHeight="1" x14ac:dyDescent="0.2">
      <c r="A23" s="790"/>
      <c r="B23" s="790"/>
      <c r="C23" s="790"/>
      <c r="D23" s="790"/>
      <c r="E23" s="790"/>
      <c r="F23" s="790"/>
    </row>
    <row r="24" spans="1:6" ht="17.100000000000001" customHeight="1" x14ac:dyDescent="0.2">
      <c r="A24" s="1298" t="e">
        <f>C7</f>
        <v>#N/A</v>
      </c>
      <c r="B24" s="1298"/>
      <c r="C24" s="1298"/>
      <c r="D24" s="1298"/>
      <c r="E24" s="1298"/>
      <c r="F24" s="1298"/>
    </row>
    <row r="25" spans="1:6" ht="17.100000000000001" customHeight="1" x14ac:dyDescent="0.2">
      <c r="A25" s="1298" t="e">
        <f>C6</f>
        <v>#N/A</v>
      </c>
      <c r="B25" s="1298"/>
      <c r="C25" s="1298"/>
      <c r="D25" s="1298"/>
      <c r="E25" s="1298"/>
      <c r="F25" s="1298"/>
    </row>
    <row r="26" spans="1:6" ht="20.100000000000001" customHeight="1" x14ac:dyDescent="0.2">
      <c r="A26" s="723"/>
      <c r="B26" s="710"/>
      <c r="C26" s="723"/>
      <c r="D26" s="710"/>
      <c r="E26" s="722"/>
      <c r="F26" s="722"/>
    </row>
    <row r="27" spans="1:6" ht="20.100000000000001" customHeight="1" x14ac:dyDescent="0.2">
      <c r="A27" s="1296" t="s">
        <v>452</v>
      </c>
      <c r="B27" s="1296"/>
      <c r="C27" s="1297" t="e">
        <f>'RT03-F12'!D6</f>
        <v>#N/A</v>
      </c>
      <c r="D27" s="1297"/>
      <c r="E27" s="1297"/>
      <c r="F27" s="722"/>
    </row>
    <row r="28" spans="1:6" ht="20.100000000000001" customHeight="1" x14ac:dyDescent="0.2">
      <c r="D28" s="724"/>
      <c r="E28" s="710"/>
      <c r="F28" s="710"/>
    </row>
    <row r="29" spans="1:6" ht="20.100000000000001" customHeight="1" x14ac:dyDescent="0.2">
      <c r="A29" s="1302" t="s">
        <v>453</v>
      </c>
      <c r="B29" s="1302"/>
      <c r="C29" s="1302"/>
      <c r="D29" s="1302"/>
      <c r="E29" s="1302"/>
      <c r="F29" s="1302"/>
    </row>
    <row r="30" spans="1:6" ht="12.75" customHeight="1" x14ac:dyDescent="0.2">
      <c r="A30" s="725"/>
      <c r="B30" s="725"/>
      <c r="C30" s="725"/>
      <c r="D30" s="724"/>
      <c r="E30" s="710"/>
      <c r="F30" s="710"/>
    </row>
    <row r="31" spans="1:6" ht="25.5" customHeight="1" x14ac:dyDescent="0.2">
      <c r="A31" s="1337" t="s">
        <v>468</v>
      </c>
      <c r="B31" s="1337"/>
      <c r="C31" s="1337"/>
      <c r="D31" s="1337"/>
      <c r="E31" s="1337"/>
      <c r="F31" s="1337"/>
    </row>
    <row r="32" spans="1:6" ht="25.5" customHeight="1" x14ac:dyDescent="0.2">
      <c r="A32" s="1337"/>
      <c r="B32" s="1337"/>
      <c r="C32" s="1337"/>
      <c r="D32" s="1337"/>
      <c r="E32" s="1337"/>
      <c r="F32" s="1337"/>
    </row>
    <row r="33" spans="1:6" ht="20.100000000000001" customHeight="1" x14ac:dyDescent="0.2">
      <c r="A33" s="719"/>
      <c r="B33" s="719"/>
      <c r="C33" s="719"/>
      <c r="D33" s="719"/>
      <c r="E33" s="719"/>
      <c r="F33" s="719"/>
    </row>
    <row r="34" spans="1:6" ht="20.100000000000001" customHeight="1" x14ac:dyDescent="0.2">
      <c r="A34" s="1296" t="s">
        <v>454</v>
      </c>
      <c r="B34" s="1296"/>
      <c r="C34" s="1296"/>
      <c r="D34" s="1296"/>
      <c r="E34" s="710"/>
      <c r="F34" s="710"/>
    </row>
    <row r="35" spans="1:6" ht="12" customHeight="1" thickBot="1" x14ac:dyDescent="0.25">
      <c r="A35" s="727"/>
      <c r="B35" s="727"/>
      <c r="C35" s="727"/>
      <c r="D35" s="710"/>
      <c r="E35" s="710"/>
      <c r="F35" s="710"/>
    </row>
    <row r="36" spans="1:6" ht="39" customHeight="1" thickBot="1" x14ac:dyDescent="0.25">
      <c r="A36" s="748" t="s">
        <v>82</v>
      </c>
      <c r="B36" s="791" t="s">
        <v>83</v>
      </c>
      <c r="C36" s="791" t="s">
        <v>84</v>
      </c>
      <c r="D36" s="710"/>
      <c r="E36" s="710"/>
      <c r="F36" s="710"/>
    </row>
    <row r="37" spans="1:6" ht="39" customHeight="1" thickBot="1" x14ac:dyDescent="0.25">
      <c r="A37" s="792" t="e">
        <f>'RT03-F12'!E65</f>
        <v>#N/A</v>
      </c>
      <c r="B37" s="793" t="e">
        <f>'RT03-F12'!G65</f>
        <v>#N/A</v>
      </c>
      <c r="C37" s="793" t="e">
        <f>'RT03-F12'!I65</f>
        <v>#N/A</v>
      </c>
      <c r="D37" s="710"/>
      <c r="E37" s="710"/>
      <c r="F37" s="710"/>
    </row>
    <row r="38" spans="1:6" ht="15" customHeight="1" x14ac:dyDescent="0.2">
      <c r="A38" s="1303" t="s">
        <v>477</v>
      </c>
      <c r="B38" s="1303"/>
      <c r="C38" s="1303"/>
      <c r="D38" s="1303"/>
      <c r="E38" s="1303"/>
      <c r="F38" s="1303"/>
    </row>
    <row r="39" spans="1:6" ht="20.100000000000001" customHeight="1" x14ac:dyDescent="0.2">
      <c r="A39" s="727"/>
      <c r="B39" s="727"/>
      <c r="C39" s="727"/>
      <c r="D39" s="710"/>
      <c r="E39" s="710"/>
      <c r="F39" s="710"/>
    </row>
    <row r="40" spans="1:6" ht="120" customHeight="1" x14ac:dyDescent="0.2">
      <c r="A40" s="727"/>
      <c r="B40" s="727"/>
      <c r="C40" s="727"/>
      <c r="D40" s="710"/>
      <c r="E40" s="710"/>
      <c r="F40" s="710"/>
    </row>
    <row r="41" spans="1:6" ht="18" customHeight="1" x14ac:dyDescent="0.2">
      <c r="A41" s="727"/>
      <c r="B41" s="727"/>
      <c r="C41" s="727"/>
      <c r="D41" s="1300" t="s">
        <v>398</v>
      </c>
      <c r="E41" s="1300"/>
      <c r="F41" s="708" t="e">
        <f>F2</f>
        <v>#N/A</v>
      </c>
    </row>
    <row r="42" spans="1:6" ht="20.100000000000001" customHeight="1" x14ac:dyDescent="0.2">
      <c r="A42" s="1320" t="s">
        <v>470</v>
      </c>
      <c r="B42" s="1320"/>
      <c r="C42" s="1320"/>
      <c r="D42" s="1320"/>
      <c r="E42" s="1320"/>
      <c r="F42" s="1320"/>
    </row>
    <row r="43" spans="1:6" ht="12" customHeight="1" x14ac:dyDescent="0.2">
      <c r="A43" s="728"/>
      <c r="B43" s="728"/>
      <c r="C43" s="728"/>
      <c r="D43" s="728"/>
      <c r="E43" s="728"/>
      <c r="F43" s="728"/>
    </row>
    <row r="44" spans="1:6" ht="60" customHeight="1" x14ac:dyDescent="0.2">
      <c r="A44" s="1324" t="s">
        <v>455</v>
      </c>
      <c r="B44" s="1324"/>
      <c r="C44" s="1324"/>
      <c r="D44" s="1324"/>
      <c r="E44" s="1324"/>
      <c r="F44" s="1324"/>
    </row>
    <row r="45" spans="1:6" ht="12" customHeight="1" thickBot="1" x14ac:dyDescent="0.25">
      <c r="A45" s="729"/>
      <c r="B45" s="729"/>
      <c r="C45" s="729"/>
      <c r="D45" s="729"/>
      <c r="E45" s="729"/>
      <c r="F45" s="729"/>
    </row>
    <row r="46" spans="1:6" ht="27.95" customHeight="1" thickBot="1" x14ac:dyDescent="0.25">
      <c r="A46" s="1304" t="s">
        <v>472</v>
      </c>
      <c r="B46" s="1305"/>
      <c r="C46" s="1308" t="e">
        <f>'RT03-F12'!I12</f>
        <v>#N/A</v>
      </c>
      <c r="D46" s="1309"/>
      <c r="E46" s="727"/>
      <c r="F46" s="727"/>
    </row>
    <row r="47" spans="1:6" ht="27.95" customHeight="1" thickBot="1" x14ac:dyDescent="0.25">
      <c r="A47" s="1316" t="s">
        <v>471</v>
      </c>
      <c r="B47" s="1317"/>
      <c r="C47" s="1310"/>
      <c r="D47" s="1311"/>
      <c r="E47" s="710"/>
      <c r="F47" s="710"/>
    </row>
    <row r="48" spans="1:6" ht="27.95" customHeight="1" thickBot="1" x14ac:dyDescent="0.25">
      <c r="A48" s="1304" t="s">
        <v>478</v>
      </c>
      <c r="B48" s="1305"/>
      <c r="C48" s="1312" t="e">
        <f>'RT03-F12'!I13</f>
        <v>#N/A</v>
      </c>
      <c r="D48" s="1313"/>
      <c r="E48" s="710"/>
      <c r="F48" s="710"/>
    </row>
    <row r="49" spans="1:6" ht="27.95" customHeight="1" thickBot="1" x14ac:dyDescent="0.25">
      <c r="A49" s="1306" t="s">
        <v>252</v>
      </c>
      <c r="B49" s="1307"/>
      <c r="C49" s="1314" t="e">
        <f>'RT03-F12'!I14</f>
        <v>#N/A</v>
      </c>
      <c r="D49" s="1315"/>
      <c r="E49" s="710"/>
      <c r="F49" s="710"/>
    </row>
    <row r="50" spans="1:6" ht="27.95" customHeight="1" thickBot="1" x14ac:dyDescent="0.25">
      <c r="A50" s="1316" t="s">
        <v>473</v>
      </c>
      <c r="B50" s="1317"/>
      <c r="C50" s="1325"/>
      <c r="D50" s="1326"/>
      <c r="E50" s="710"/>
      <c r="F50" s="710"/>
    </row>
    <row r="51" spans="1:6" ht="20.100000000000001" customHeight="1" x14ac:dyDescent="0.2">
      <c r="A51" s="724"/>
      <c r="B51" s="724"/>
      <c r="C51" s="724"/>
      <c r="D51" s="710"/>
      <c r="E51" s="710"/>
      <c r="F51" s="710"/>
    </row>
    <row r="52" spans="1:6" ht="20.100000000000001" customHeight="1" x14ac:dyDescent="0.2">
      <c r="A52" s="1320" t="s">
        <v>456</v>
      </c>
      <c r="B52" s="1320"/>
      <c r="C52" s="1320"/>
      <c r="D52" s="1320"/>
      <c r="E52" s="1320"/>
      <c r="F52" s="1320"/>
    </row>
    <row r="53" spans="1:6" ht="12" customHeight="1" x14ac:dyDescent="0.2">
      <c r="A53" s="727"/>
      <c r="B53" s="727"/>
      <c r="C53" s="727"/>
      <c r="D53" s="727"/>
      <c r="E53" s="727"/>
      <c r="F53" s="727"/>
    </row>
    <row r="54" spans="1:6" ht="20.100000000000001" customHeight="1" x14ac:dyDescent="0.2">
      <c r="A54" s="1332" t="s">
        <v>87</v>
      </c>
      <c r="B54" s="1332"/>
      <c r="C54" s="1332"/>
      <c r="D54" s="727"/>
      <c r="E54" s="727"/>
      <c r="F54" s="727"/>
    </row>
    <row r="55" spans="1:6" ht="12" customHeight="1" thickBot="1" x14ac:dyDescent="0.25">
      <c r="A55" s="727"/>
      <c r="B55" s="727"/>
      <c r="C55" s="727"/>
      <c r="D55" s="710"/>
      <c r="E55" s="710"/>
      <c r="F55" s="710"/>
    </row>
    <row r="56" spans="1:6" ht="27.95" customHeight="1" thickBot="1" x14ac:dyDescent="0.25">
      <c r="A56" s="1321" t="s">
        <v>392</v>
      </c>
      <c r="B56" s="1322"/>
      <c r="C56" s="1323"/>
      <c r="D56" s="727"/>
      <c r="E56" s="727"/>
      <c r="F56" s="727"/>
    </row>
    <row r="57" spans="1:6" ht="27.95" customHeight="1" thickBot="1" x14ac:dyDescent="0.25">
      <c r="A57" s="730" t="str">
        <f>'RT03-F12'!C34</f>
        <v>Carga</v>
      </c>
      <c r="B57" s="731">
        <f>'RT03-F12'!E34</f>
        <v>0</v>
      </c>
      <c r="C57" s="732" t="str">
        <f>'RT03-F12'!D34</f>
        <v>(g)</v>
      </c>
      <c r="D57" s="727"/>
      <c r="E57" s="785" t="s">
        <v>86</v>
      </c>
      <c r="F57" s="727"/>
    </row>
    <row r="58" spans="1:6" ht="27.95" customHeight="1" thickBot="1" x14ac:dyDescent="0.25">
      <c r="A58" s="733" t="str">
        <f>'RT03-F12'!B35</f>
        <v>Posición</v>
      </c>
      <c r="B58" s="734" t="str">
        <f>'RT03-F12'!B36</f>
        <v>Indicación (g)</v>
      </c>
      <c r="C58" s="735" t="s">
        <v>130</v>
      </c>
      <c r="D58" s="727"/>
      <c r="E58" s="727"/>
      <c r="F58" s="727"/>
    </row>
    <row r="59" spans="1:6" ht="27.95" customHeight="1" x14ac:dyDescent="0.2">
      <c r="A59" s="736">
        <f>'RT03-F12'!C35</f>
        <v>1</v>
      </c>
      <c r="B59" s="737">
        <f>'RT03-F12'!C36</f>
        <v>0</v>
      </c>
      <c r="C59" s="738">
        <f>'RT03-F12'!C37</f>
        <v>0</v>
      </c>
      <c r="D59" s="727"/>
      <c r="F59" s="727"/>
    </row>
    <row r="60" spans="1:6" ht="27.95" customHeight="1" x14ac:dyDescent="0.2">
      <c r="A60" s="739">
        <f>'RT03-F12'!D35</f>
        <v>2</v>
      </c>
      <c r="B60" s="227">
        <f>'RT03-F12'!D36</f>
        <v>0</v>
      </c>
      <c r="C60" s="740">
        <f>'RT03-F12'!D37</f>
        <v>0</v>
      </c>
      <c r="D60" s="727"/>
      <c r="E60" s="727"/>
      <c r="F60" s="727"/>
    </row>
    <row r="61" spans="1:6" ht="27.95" customHeight="1" x14ac:dyDescent="0.2">
      <c r="A61" s="739">
        <f>'RT03-F12'!E35</f>
        <v>3</v>
      </c>
      <c r="B61" s="227">
        <f>'RT03-F12'!E36</f>
        <v>0</v>
      </c>
      <c r="C61" s="740">
        <f>'RT03-F12'!E37</f>
        <v>0</v>
      </c>
      <c r="D61" s="727"/>
      <c r="E61" s="727"/>
      <c r="F61" s="727"/>
    </row>
    <row r="62" spans="1:6" ht="27.95" customHeight="1" x14ac:dyDescent="0.2">
      <c r="A62" s="739">
        <f>'RT03-F12'!F35</f>
        <v>4</v>
      </c>
      <c r="B62" s="227">
        <f>'RT03-F12'!F36</f>
        <v>0</v>
      </c>
      <c r="C62" s="740">
        <f>'RT03-F12'!F37</f>
        <v>0</v>
      </c>
      <c r="D62" s="727"/>
      <c r="E62" s="727"/>
      <c r="F62" s="727"/>
    </row>
    <row r="63" spans="1:6" ht="27.95" customHeight="1" thickBot="1" x14ac:dyDescent="0.25">
      <c r="A63" s="741">
        <f>'RT03-F12'!G35</f>
        <v>5</v>
      </c>
      <c r="B63" s="742">
        <f>'RT03-F12'!G36</f>
        <v>0</v>
      </c>
      <c r="C63" s="743">
        <f>'RT03-F12'!G37</f>
        <v>0</v>
      </c>
      <c r="D63" s="727"/>
      <c r="E63" s="727"/>
      <c r="F63" s="727"/>
    </row>
    <row r="64" spans="1:6" ht="27.95" customHeight="1" thickBot="1" x14ac:dyDescent="0.25">
      <c r="A64" s="1318" t="s">
        <v>457</v>
      </c>
      <c r="B64" s="1319"/>
      <c r="C64" s="809">
        <f>'RT03-F12'!C39</f>
        <v>0</v>
      </c>
      <c r="D64" s="727"/>
      <c r="E64" s="727"/>
      <c r="F64" s="727"/>
    </row>
    <row r="65" spans="1:6" ht="12" customHeight="1" x14ac:dyDescent="0.2">
      <c r="A65" s="724"/>
      <c r="B65" s="744"/>
      <c r="C65" s="726"/>
      <c r="D65" s="727"/>
      <c r="E65" s="727"/>
      <c r="F65" s="727"/>
    </row>
    <row r="66" spans="1:6" ht="20.100000000000001" customHeight="1" x14ac:dyDescent="0.2">
      <c r="A66" s="1341" t="s">
        <v>474</v>
      </c>
      <c r="B66" s="1341"/>
      <c r="C66" s="1341"/>
      <c r="D66" s="1341"/>
      <c r="E66" s="1341"/>
      <c r="F66" s="1341"/>
    </row>
    <row r="67" spans="1:6" ht="20.100000000000001" customHeight="1" x14ac:dyDescent="0.2">
      <c r="A67" s="1341"/>
      <c r="B67" s="1341"/>
      <c r="C67" s="1341"/>
      <c r="D67" s="1341"/>
      <c r="E67" s="1341"/>
      <c r="F67" s="1341"/>
    </row>
    <row r="68" spans="1:6" ht="20.100000000000001" customHeight="1" x14ac:dyDescent="0.2">
      <c r="A68" s="1341"/>
      <c r="B68" s="1341"/>
      <c r="C68" s="1341"/>
      <c r="D68" s="1341"/>
      <c r="E68" s="1341"/>
      <c r="F68" s="1341"/>
    </row>
    <row r="69" spans="1:6" ht="20.100000000000001" customHeight="1" x14ac:dyDescent="0.2">
      <c r="A69" s="745"/>
      <c r="B69" s="745"/>
      <c r="C69" s="745"/>
      <c r="D69" s="745"/>
      <c r="E69" s="745"/>
      <c r="F69" s="745"/>
    </row>
    <row r="70" spans="1:6" ht="120" customHeight="1" x14ac:dyDescent="0.2">
      <c r="A70" s="745"/>
      <c r="B70" s="745"/>
      <c r="C70" s="745"/>
      <c r="D70" s="745"/>
      <c r="E70" s="745"/>
      <c r="F70" s="745"/>
    </row>
    <row r="71" spans="1:6" ht="18" customHeight="1" x14ac:dyDescent="0.2">
      <c r="A71" s="745"/>
      <c r="B71" s="745"/>
      <c r="C71" s="745"/>
      <c r="D71" s="1300" t="s">
        <v>398</v>
      </c>
      <c r="E71" s="1300"/>
      <c r="F71" s="708" t="e">
        <f>F2</f>
        <v>#N/A</v>
      </c>
    </row>
    <row r="72" spans="1:6" ht="15" customHeight="1" x14ac:dyDescent="0.2">
      <c r="A72" s="1332" t="s">
        <v>89</v>
      </c>
      <c r="B72" s="1332"/>
      <c r="E72" s="724"/>
      <c r="F72" s="724"/>
    </row>
    <row r="73" spans="1:6" ht="12" customHeight="1" thickBot="1" x14ac:dyDescent="0.25">
      <c r="E73" s="724"/>
    </row>
    <row r="74" spans="1:6" ht="15" customHeight="1" thickBot="1" x14ac:dyDescent="0.25">
      <c r="A74" s="1342" t="s">
        <v>393</v>
      </c>
      <c r="B74" s="1343"/>
      <c r="C74" s="1343"/>
      <c r="D74" s="1344"/>
      <c r="E74" s="724"/>
      <c r="F74" s="724"/>
    </row>
    <row r="75" spans="1:6" ht="20.100000000000001" customHeight="1" thickBot="1" x14ac:dyDescent="0.25">
      <c r="A75" s="746" t="str">
        <f>'RT03-F12'!A43</f>
        <v>Cargas (g)</v>
      </c>
      <c r="B75" s="747">
        <f>'RT03-F12'!A44</f>
        <v>0</v>
      </c>
      <c r="C75" s="747">
        <f>'RT03-F12'!A45</f>
        <v>0</v>
      </c>
      <c r="D75" s="747">
        <f>'RT03-F12'!A46</f>
        <v>0</v>
      </c>
      <c r="E75" s="724"/>
      <c r="F75" s="724"/>
    </row>
    <row r="76" spans="1:6" ht="30" customHeight="1" thickBot="1" x14ac:dyDescent="0.25">
      <c r="A76" s="748" t="s">
        <v>397</v>
      </c>
      <c r="B76" s="748" t="s">
        <v>88</v>
      </c>
      <c r="C76" s="748" t="s">
        <v>88</v>
      </c>
      <c r="D76" s="748" t="s">
        <v>88</v>
      </c>
      <c r="E76" s="724"/>
      <c r="F76" s="724"/>
    </row>
    <row r="77" spans="1:6" ht="20.100000000000001" customHeight="1" x14ac:dyDescent="0.2">
      <c r="A77" s="749">
        <f>'RT03-F12'!B43</f>
        <v>1</v>
      </c>
      <c r="B77" s="750">
        <f>'RT03-F12'!B44</f>
        <v>0</v>
      </c>
      <c r="C77" s="750">
        <f>'RT03-F12'!B45</f>
        <v>0</v>
      </c>
      <c r="D77" s="750">
        <f>'RT03-F12'!B46</f>
        <v>0</v>
      </c>
      <c r="E77" s="724"/>
      <c r="F77" s="724"/>
    </row>
    <row r="78" spans="1:6" ht="20.100000000000001" customHeight="1" x14ac:dyDescent="0.2">
      <c r="A78" s="749">
        <f>'RT03-F12'!C43</f>
        <v>2</v>
      </c>
      <c r="B78" s="227">
        <f>'RT03-F12'!C44</f>
        <v>0</v>
      </c>
      <c r="C78" s="227">
        <f>'RT03-F12'!C45</f>
        <v>0</v>
      </c>
      <c r="D78" s="227">
        <f>'RT03-F12'!C46</f>
        <v>0</v>
      </c>
      <c r="E78" s="724"/>
      <c r="F78" s="724"/>
    </row>
    <row r="79" spans="1:6" ht="20.100000000000001" customHeight="1" x14ac:dyDescent="0.2">
      <c r="A79" s="749">
        <f>'RT03-F12'!D43</f>
        <v>3</v>
      </c>
      <c r="B79" s="227">
        <f>'RT03-F12'!D44</f>
        <v>0</v>
      </c>
      <c r="C79" s="227">
        <f>'RT03-F12'!D45</f>
        <v>0</v>
      </c>
      <c r="D79" s="227">
        <f>'RT03-F12'!D46</f>
        <v>0</v>
      </c>
      <c r="E79" s="724"/>
      <c r="F79" s="724"/>
    </row>
    <row r="80" spans="1:6" ht="20.100000000000001" customHeight="1" x14ac:dyDescent="0.2">
      <c r="A80" s="749">
        <f>'RT03-F12'!E43</f>
        <v>4</v>
      </c>
      <c r="B80" s="227">
        <f>'RT03-F12'!E44</f>
        <v>0</v>
      </c>
      <c r="C80" s="227">
        <f>'RT03-F12'!E45</f>
        <v>0</v>
      </c>
      <c r="D80" s="227">
        <f>'RT03-F12'!E46</f>
        <v>0</v>
      </c>
      <c r="E80" s="724"/>
      <c r="F80" s="724"/>
    </row>
    <row r="81" spans="1:6" ht="20.100000000000001" customHeight="1" x14ac:dyDescent="0.2">
      <c r="A81" s="749">
        <f>'RT03-F12'!F43</f>
        <v>5</v>
      </c>
      <c r="B81" s="227">
        <f>'RT03-F12'!F44</f>
        <v>0</v>
      </c>
      <c r="C81" s="227">
        <f>'RT03-F12'!F45</f>
        <v>0</v>
      </c>
      <c r="D81" s="227">
        <f>'RT03-F12'!F46</f>
        <v>0</v>
      </c>
      <c r="E81" s="724"/>
      <c r="F81" s="724"/>
    </row>
    <row r="82" spans="1:6" ht="20.100000000000001" customHeight="1" x14ac:dyDescent="0.2">
      <c r="A82" s="749">
        <f>'RT03-F12'!G43</f>
        <v>6</v>
      </c>
      <c r="B82" s="227">
        <f>'RT03-F12'!G44</f>
        <v>0</v>
      </c>
      <c r="C82" s="227">
        <f>'RT03-F12'!G45</f>
        <v>0</v>
      </c>
      <c r="D82" s="227">
        <f>'RT03-F12'!G46</f>
        <v>0</v>
      </c>
      <c r="E82" s="724"/>
      <c r="F82" s="724"/>
    </row>
    <row r="83" spans="1:6" ht="20.100000000000001" customHeight="1" x14ac:dyDescent="0.2">
      <c r="A83" s="749">
        <f>'RT03-F12'!H43</f>
        <v>7</v>
      </c>
      <c r="B83" s="227">
        <f>'RT03-F12'!H44</f>
        <v>0</v>
      </c>
      <c r="C83" s="227">
        <f>'RT03-F12'!H45</f>
        <v>0</v>
      </c>
      <c r="D83" s="227">
        <f>'RT03-F12'!H46</f>
        <v>0</v>
      </c>
      <c r="E83" s="724"/>
      <c r="F83" s="724"/>
    </row>
    <row r="84" spans="1:6" ht="20.100000000000001" customHeight="1" x14ac:dyDescent="0.2">
      <c r="A84" s="749">
        <f>'RT03-F12'!I43</f>
        <v>8</v>
      </c>
      <c r="B84" s="227">
        <f>'RT03-F12'!I44</f>
        <v>0</v>
      </c>
      <c r="C84" s="227">
        <f>'RT03-F12'!I45</f>
        <v>0</v>
      </c>
      <c r="D84" s="227">
        <f>'RT03-F12'!I46</f>
        <v>0</v>
      </c>
      <c r="E84" s="724"/>
      <c r="F84" s="724"/>
    </row>
    <row r="85" spans="1:6" ht="20.100000000000001" customHeight="1" x14ac:dyDescent="0.2">
      <c r="A85" s="749">
        <f>'RT03-F12'!J43</f>
        <v>9</v>
      </c>
      <c r="B85" s="227">
        <f>'RT03-F12'!J44</f>
        <v>0</v>
      </c>
      <c r="C85" s="227">
        <f>'RT03-F12'!J45</f>
        <v>0</v>
      </c>
      <c r="D85" s="227">
        <f>'RT03-F12'!J46</f>
        <v>0</v>
      </c>
      <c r="E85" s="724"/>
      <c r="F85" s="724"/>
    </row>
    <row r="86" spans="1:6" ht="20.100000000000001" customHeight="1" x14ac:dyDescent="0.2">
      <c r="A86" s="749">
        <f>'RT03-F12'!K43</f>
        <v>10</v>
      </c>
      <c r="B86" s="227">
        <f>'RT03-F12'!K44</f>
        <v>0</v>
      </c>
      <c r="C86" s="227">
        <f>'RT03-F12'!K45</f>
        <v>0</v>
      </c>
      <c r="D86" s="227">
        <f>'RT03-F12'!K46</f>
        <v>0</v>
      </c>
      <c r="E86" s="727"/>
      <c r="F86" s="727"/>
    </row>
    <row r="87" spans="1:6" ht="12" customHeight="1" x14ac:dyDescent="0.2">
      <c r="A87" s="710"/>
      <c r="B87" s="710"/>
      <c r="C87" s="710"/>
      <c r="D87" s="727"/>
      <c r="E87" s="727"/>
      <c r="F87" s="727"/>
    </row>
    <row r="88" spans="1:6" ht="15" customHeight="1" x14ac:dyDescent="0.2">
      <c r="A88" s="1345" t="s">
        <v>390</v>
      </c>
      <c r="B88" s="1345"/>
      <c r="C88" s="1345"/>
      <c r="D88" s="1345"/>
      <c r="E88" s="1345"/>
      <c r="F88" s="1345"/>
    </row>
    <row r="89" spans="1:6" ht="15" customHeight="1" x14ac:dyDescent="0.2">
      <c r="A89" s="1345"/>
      <c r="B89" s="1345"/>
      <c r="C89" s="1345"/>
      <c r="D89" s="1345"/>
      <c r="E89" s="1345"/>
      <c r="F89" s="1345"/>
    </row>
    <row r="90" spans="1:6" ht="15" customHeight="1" x14ac:dyDescent="0.2">
      <c r="A90" s="1345"/>
      <c r="B90" s="1345"/>
      <c r="C90" s="1345"/>
      <c r="D90" s="1345"/>
      <c r="E90" s="1345"/>
      <c r="F90" s="1345"/>
    </row>
    <row r="91" spans="1:6" ht="15" customHeight="1" x14ac:dyDescent="0.2">
      <c r="A91" s="1345"/>
      <c r="B91" s="1345"/>
      <c r="C91" s="1345"/>
      <c r="D91" s="1345"/>
      <c r="E91" s="1345"/>
      <c r="F91" s="1345"/>
    </row>
    <row r="92" spans="1:6" ht="12" customHeight="1" x14ac:dyDescent="0.2">
      <c r="E92" s="727"/>
      <c r="F92" s="727"/>
    </row>
    <row r="93" spans="1:6" ht="15" customHeight="1" x14ac:dyDescent="0.2">
      <c r="A93" s="1332" t="s">
        <v>394</v>
      </c>
      <c r="B93" s="1332"/>
      <c r="C93" s="1332"/>
      <c r="D93" s="1332"/>
      <c r="E93" s="710"/>
      <c r="F93" s="710"/>
    </row>
    <row r="94" spans="1:6" ht="15" customHeight="1" thickBot="1" x14ac:dyDescent="0.25"/>
    <row r="95" spans="1:6" ht="15" customHeight="1" thickBot="1" x14ac:dyDescent="0.25">
      <c r="A95" s="1338" t="s">
        <v>389</v>
      </c>
      <c r="B95" s="1339"/>
      <c r="C95" s="1340"/>
      <c r="D95" s="710"/>
      <c r="E95" s="710"/>
      <c r="F95" s="710"/>
    </row>
    <row r="96" spans="1:6" ht="43.5" customHeight="1" thickBot="1" x14ac:dyDescent="0.25">
      <c r="A96" s="751" t="s">
        <v>433</v>
      </c>
      <c r="B96" s="752" t="s">
        <v>435</v>
      </c>
      <c r="C96" s="753" t="s">
        <v>434</v>
      </c>
      <c r="D96" s="710"/>
      <c r="E96" s="710"/>
      <c r="F96" s="710"/>
    </row>
    <row r="97" spans="1:6" ht="19.5" customHeight="1" x14ac:dyDescent="0.2">
      <c r="A97" s="754" t="e">
        <f>'RT03-F12'!B55</f>
        <v>#N/A</v>
      </c>
      <c r="B97" s="755">
        <f>'RT03-F12'!C55</f>
        <v>0</v>
      </c>
      <c r="C97" s="756" t="e">
        <f>'RT03-F12'!D55</f>
        <v>#N/A</v>
      </c>
      <c r="D97" s="710"/>
      <c r="E97" s="710"/>
      <c r="F97" s="710"/>
    </row>
    <row r="98" spans="1:6" ht="20.100000000000001" customHeight="1" x14ac:dyDescent="0.2">
      <c r="A98" s="757" t="e">
        <f>'RT03-F12'!B56</f>
        <v>#N/A</v>
      </c>
      <c r="B98" s="758">
        <f>'RT03-F12'!C56</f>
        <v>0</v>
      </c>
      <c r="C98" s="756" t="e">
        <f>'RT03-F12'!D56</f>
        <v>#N/A</v>
      </c>
      <c r="D98" s="710"/>
      <c r="E98" s="710"/>
      <c r="F98" s="710"/>
    </row>
    <row r="99" spans="1:6" ht="20.100000000000001" customHeight="1" x14ac:dyDescent="0.2">
      <c r="A99" s="757" t="e">
        <f>'RT03-F12'!B57</f>
        <v>#N/A</v>
      </c>
      <c r="B99" s="758">
        <f>'RT03-F12'!C57</f>
        <v>0</v>
      </c>
      <c r="C99" s="756" t="e">
        <f>'RT03-F12'!D57</f>
        <v>#N/A</v>
      </c>
      <c r="D99" s="710"/>
      <c r="E99" s="710"/>
      <c r="F99" s="710"/>
    </row>
    <row r="100" spans="1:6" ht="20.100000000000001" customHeight="1" x14ac:dyDescent="0.2">
      <c r="A100" s="757" t="e">
        <f>'RT03-F12'!B58</f>
        <v>#N/A</v>
      </c>
      <c r="B100" s="758">
        <f>'RT03-F12'!C58</f>
        <v>0</v>
      </c>
      <c r="C100" s="756" t="e">
        <f>'RT03-F12'!D58</f>
        <v>#N/A</v>
      </c>
      <c r="D100" s="710"/>
      <c r="E100" s="710"/>
      <c r="F100" s="710"/>
    </row>
    <row r="101" spans="1:6" ht="20.100000000000001" customHeight="1" x14ac:dyDescent="0.2">
      <c r="A101" s="757" t="e">
        <f>'RT03-F12'!B59</f>
        <v>#N/A</v>
      </c>
      <c r="B101" s="758">
        <f>'RT03-F12'!C59</f>
        <v>0</v>
      </c>
      <c r="C101" s="756" t="e">
        <f>'RT03-F12'!D59</f>
        <v>#N/A</v>
      </c>
      <c r="D101" s="710"/>
      <c r="E101" s="710"/>
      <c r="F101" s="710"/>
    </row>
    <row r="102" spans="1:6" ht="15.95" customHeight="1" thickBot="1" x14ac:dyDescent="0.25">
      <c r="A102" s="759"/>
      <c r="B102" s="759"/>
      <c r="C102" s="759"/>
      <c r="D102" s="710"/>
      <c r="E102" s="710"/>
      <c r="F102" s="759"/>
    </row>
    <row r="103" spans="1:6" ht="15.95" customHeight="1" thickBot="1" x14ac:dyDescent="0.25">
      <c r="A103" s="1338" t="s">
        <v>391</v>
      </c>
      <c r="B103" s="1339"/>
      <c r="C103" s="1340"/>
    </row>
    <row r="104" spans="1:6" ht="26.25" thickBot="1" x14ac:dyDescent="0.25">
      <c r="A104" s="760" t="str">
        <f>'RT03-F12'!B54</f>
        <v>Masa  Convencional (g)</v>
      </c>
      <c r="B104" s="748" t="s">
        <v>309</v>
      </c>
      <c r="C104" s="761" t="s">
        <v>469</v>
      </c>
      <c r="E104" s="762"/>
    </row>
    <row r="105" spans="1:6" ht="15.95" customHeight="1" x14ac:dyDescent="0.2">
      <c r="A105" s="763" t="e">
        <f>'RT03-F12'!B55</f>
        <v>#N/A</v>
      </c>
      <c r="B105" s="764" t="e">
        <f>'RT03-F12'!K55</f>
        <v>#DIV/0!</v>
      </c>
      <c r="C105" s="764" t="e">
        <f>'RT03-F12'!F105</f>
        <v>#DIV/0!</v>
      </c>
      <c r="E105" s="762"/>
    </row>
    <row r="106" spans="1:6" ht="15.95" customHeight="1" x14ac:dyDescent="0.2">
      <c r="A106" s="765" t="e">
        <f>'RT03-F12'!B56</f>
        <v>#N/A</v>
      </c>
      <c r="B106" s="764" t="e">
        <f>'RT03-F12'!K56</f>
        <v>#DIV/0!</v>
      </c>
      <c r="C106" s="764" t="e">
        <f>'RT03-F12'!G105</f>
        <v>#DIV/0!</v>
      </c>
      <c r="E106" s="762"/>
    </row>
    <row r="107" spans="1:6" ht="15.95" customHeight="1" x14ac:dyDescent="0.2">
      <c r="A107" s="766" t="e">
        <f>'RT03-F12'!B57</f>
        <v>#N/A</v>
      </c>
      <c r="B107" s="764" t="e">
        <f>'RT03-F12'!K57</f>
        <v>#DIV/0!</v>
      </c>
      <c r="C107" s="764" t="e">
        <f>'RT03-F12'!H105</f>
        <v>#DIV/0!</v>
      </c>
      <c r="E107" s="762"/>
    </row>
    <row r="108" spans="1:6" ht="15.95" customHeight="1" x14ac:dyDescent="0.2">
      <c r="A108" s="765" t="e">
        <f>'RT03-F12'!B58</f>
        <v>#N/A</v>
      </c>
      <c r="B108" s="764" t="e">
        <f>'RT03-F12'!K58</f>
        <v>#DIV/0!</v>
      </c>
      <c r="C108" s="764" t="e">
        <f>'RT03-F12'!I105</f>
        <v>#DIV/0!</v>
      </c>
      <c r="D108" s="724"/>
      <c r="E108" s="762"/>
      <c r="F108" s="724"/>
    </row>
    <row r="109" spans="1:6" ht="15.95" customHeight="1" x14ac:dyDescent="0.2">
      <c r="A109" s="766" t="e">
        <f>'RT03-F12'!B59</f>
        <v>#N/A</v>
      </c>
      <c r="B109" s="764" t="e">
        <f>'RT03-F12'!K59</f>
        <v>#DIV/0!</v>
      </c>
      <c r="C109" s="764" t="e">
        <f>'RT03-F12'!J105</f>
        <v>#DIV/0!</v>
      </c>
      <c r="D109" s="724"/>
      <c r="E109" s="762"/>
      <c r="F109" s="724"/>
    </row>
    <row r="110" spans="1:6" ht="15.95" customHeight="1" x14ac:dyDescent="0.2">
      <c r="A110" s="786"/>
      <c r="B110" s="726"/>
      <c r="C110" s="726"/>
      <c r="D110" s="724"/>
      <c r="E110" s="762"/>
      <c r="F110" s="724"/>
    </row>
    <row r="111" spans="1:6" ht="120" customHeight="1" x14ac:dyDescent="0.2">
      <c r="A111" s="786"/>
      <c r="B111" s="726"/>
      <c r="C111" s="726"/>
      <c r="D111" s="724"/>
      <c r="E111" s="762"/>
      <c r="F111" s="724"/>
    </row>
    <row r="112" spans="1:6" ht="18" customHeight="1" x14ac:dyDescent="0.2">
      <c r="A112" s="786"/>
      <c r="B112" s="726"/>
      <c r="C112" s="726"/>
      <c r="D112" s="1300" t="s">
        <v>398</v>
      </c>
      <c r="E112" s="1300"/>
      <c r="F112" s="708" t="e">
        <f>F2</f>
        <v>#N/A</v>
      </c>
    </row>
    <row r="113" spans="1:6" ht="20.100000000000001" customHeight="1" x14ac:dyDescent="0.2">
      <c r="A113" s="87"/>
      <c r="B113" s="726"/>
      <c r="C113" s="726"/>
      <c r="D113" s="724"/>
      <c r="E113" s="762"/>
      <c r="F113" s="724"/>
    </row>
    <row r="114" spans="1:6" ht="15" customHeight="1" x14ac:dyDescent="0.2">
      <c r="A114" s="759"/>
      <c r="B114" s="726"/>
      <c r="C114" s="726"/>
      <c r="D114" s="710"/>
      <c r="E114" s="710"/>
      <c r="F114" s="710"/>
    </row>
    <row r="115" spans="1:6" ht="15" customHeight="1" x14ac:dyDescent="0.2">
      <c r="A115" s="724"/>
      <c r="B115" s="767"/>
      <c r="C115" s="724"/>
      <c r="D115" s="724"/>
      <c r="E115" s="724"/>
      <c r="F115" s="724"/>
    </row>
    <row r="116" spans="1:6" ht="15" customHeight="1" x14ac:dyDescent="0.2">
      <c r="A116" s="724"/>
      <c r="B116" s="724"/>
      <c r="C116" s="724"/>
      <c r="D116" s="724"/>
      <c r="E116" s="724"/>
      <c r="F116" s="724"/>
    </row>
    <row r="117" spans="1:6" ht="15" customHeight="1" x14ac:dyDescent="0.2">
      <c r="A117" s="724"/>
      <c r="B117" s="724"/>
      <c r="C117" s="724"/>
      <c r="D117" s="724"/>
      <c r="E117" s="724"/>
      <c r="F117" s="724"/>
    </row>
    <row r="118" spans="1:6" ht="15" customHeight="1" x14ac:dyDescent="0.2">
      <c r="A118" s="724"/>
      <c r="B118" s="724"/>
      <c r="C118" s="724"/>
      <c r="D118" s="724"/>
      <c r="E118" s="724"/>
      <c r="F118" s="724"/>
    </row>
    <row r="119" spans="1:6" ht="15" customHeight="1" x14ac:dyDescent="0.2">
      <c r="A119" s="724"/>
      <c r="B119" s="724"/>
      <c r="C119" s="724"/>
      <c r="D119" s="724"/>
      <c r="E119" s="724"/>
      <c r="F119" s="724"/>
    </row>
    <row r="120" spans="1:6" ht="15" customHeight="1" x14ac:dyDescent="0.2">
      <c r="A120" s="724"/>
      <c r="B120" s="724"/>
      <c r="C120" s="724"/>
      <c r="D120" s="724"/>
      <c r="E120" s="724"/>
      <c r="F120" s="724"/>
    </row>
    <row r="121" spans="1:6" ht="15" customHeight="1" x14ac:dyDescent="0.2">
      <c r="A121" s="724"/>
      <c r="B121" s="724"/>
      <c r="C121" s="724"/>
      <c r="D121" s="724"/>
      <c r="E121" s="724"/>
      <c r="F121" s="724"/>
    </row>
    <row r="122" spans="1:6" ht="15" customHeight="1" x14ac:dyDescent="0.2">
      <c r="A122" s="724"/>
      <c r="B122" s="724"/>
      <c r="C122" s="724"/>
      <c r="D122" s="724"/>
      <c r="E122" s="724"/>
      <c r="F122" s="724"/>
    </row>
    <row r="123" spans="1:6" ht="15" customHeight="1" x14ac:dyDescent="0.2">
      <c r="A123" s="724"/>
      <c r="B123" s="724"/>
      <c r="C123" s="724"/>
      <c r="D123" s="724"/>
      <c r="E123" s="724"/>
      <c r="F123" s="724"/>
    </row>
    <row r="124" spans="1:6" ht="15" customHeight="1" x14ac:dyDescent="0.2">
      <c r="A124" s="724"/>
      <c r="B124" s="724"/>
      <c r="C124" s="724"/>
      <c r="D124" s="724"/>
      <c r="E124" s="724"/>
      <c r="F124" s="724"/>
    </row>
    <row r="125" spans="1:6" ht="15" customHeight="1" x14ac:dyDescent="0.2">
      <c r="A125" s="724"/>
      <c r="B125" s="724"/>
      <c r="C125" s="724"/>
      <c r="D125" s="724"/>
      <c r="E125" s="724"/>
      <c r="F125" s="724"/>
    </row>
    <row r="126" spans="1:6" ht="15" customHeight="1" x14ac:dyDescent="0.2">
      <c r="A126" s="724"/>
      <c r="B126" s="724"/>
      <c r="C126" s="724"/>
      <c r="D126" s="724"/>
      <c r="E126" s="724"/>
      <c r="F126" s="724"/>
    </row>
    <row r="127" spans="1:6" ht="15" customHeight="1" x14ac:dyDescent="0.2">
      <c r="D127" s="710"/>
      <c r="E127" s="710"/>
      <c r="F127" s="710"/>
    </row>
    <row r="128" spans="1:6" ht="15" customHeight="1" x14ac:dyDescent="0.2">
      <c r="A128" s="710"/>
      <c r="B128" s="710"/>
      <c r="C128" s="710"/>
      <c r="D128" s="710"/>
      <c r="E128" s="710"/>
      <c r="F128" s="710"/>
    </row>
    <row r="129" spans="1:6" ht="15" customHeight="1" x14ac:dyDescent="0.2">
      <c r="A129" s="710"/>
      <c r="B129" s="710"/>
      <c r="C129" s="710"/>
      <c r="D129" s="710"/>
      <c r="E129" s="710"/>
      <c r="F129" s="710"/>
    </row>
    <row r="130" spans="1:6" ht="15" customHeight="1" x14ac:dyDescent="0.2">
      <c r="A130" s="710"/>
      <c r="B130" s="710"/>
      <c r="C130" s="710"/>
      <c r="D130" s="710"/>
      <c r="E130" s="710"/>
      <c r="F130" s="710"/>
    </row>
    <row r="131" spans="1:6" ht="15" customHeight="1" x14ac:dyDescent="0.2">
      <c r="A131" s="1331" t="s">
        <v>436</v>
      </c>
      <c r="B131" s="1331"/>
      <c r="C131" s="1331"/>
      <c r="D131" s="1331"/>
      <c r="E131" s="1331"/>
      <c r="F131" s="1331"/>
    </row>
    <row r="132" spans="1:6" ht="15" customHeight="1" x14ac:dyDescent="0.2">
      <c r="A132" s="1331"/>
      <c r="B132" s="1331"/>
      <c r="C132" s="1331"/>
      <c r="D132" s="1331"/>
      <c r="E132" s="1331"/>
      <c r="F132" s="1331"/>
    </row>
    <row r="133" spans="1:6" ht="20.100000000000001" customHeight="1" x14ac:dyDescent="0.2">
      <c r="A133" s="1332"/>
      <c r="B133" s="1332"/>
      <c r="C133" s="1332"/>
      <c r="D133" s="710"/>
      <c r="E133" s="710"/>
      <c r="F133" s="710"/>
    </row>
    <row r="134" spans="1:6" ht="20.100000000000001" customHeight="1" x14ac:dyDescent="0.2">
      <c r="A134" s="1296" t="s">
        <v>458</v>
      </c>
      <c r="B134" s="1296"/>
      <c r="C134" s="1296"/>
      <c r="D134" s="1296"/>
      <c r="E134" s="1296"/>
      <c r="F134" s="710"/>
    </row>
    <row r="135" spans="1:6" ht="12" customHeight="1" x14ac:dyDescent="0.2">
      <c r="A135" s="722"/>
      <c r="B135" s="722"/>
      <c r="C135" s="722"/>
      <c r="D135" s="722"/>
      <c r="E135" s="722"/>
      <c r="F135" s="710"/>
    </row>
    <row r="136" spans="1:6" ht="12" customHeight="1" x14ac:dyDescent="0.2">
      <c r="A136" s="1346" t="s">
        <v>475</v>
      </c>
      <c r="B136" s="1346"/>
      <c r="C136" s="1346"/>
      <c r="D136" s="1346"/>
      <c r="E136" s="1346"/>
      <c r="F136" s="1346"/>
    </row>
    <row r="137" spans="1:6" ht="35.25" customHeight="1" x14ac:dyDescent="0.2">
      <c r="A137" s="1346"/>
      <c r="B137" s="1346"/>
      <c r="C137" s="1346"/>
      <c r="D137" s="1346"/>
      <c r="E137" s="1346"/>
      <c r="F137" s="1346"/>
    </row>
    <row r="138" spans="1:6" ht="20.100000000000001" customHeight="1" thickBot="1" x14ac:dyDescent="0.25">
      <c r="A138" s="722"/>
      <c r="B138" s="722"/>
      <c r="C138" s="722"/>
      <c r="D138" s="722"/>
      <c r="E138" s="722"/>
      <c r="F138" s="722"/>
    </row>
    <row r="139" spans="1:6" ht="42" customHeight="1" thickTop="1" thickBot="1" x14ac:dyDescent="0.25">
      <c r="A139" s="768" t="s">
        <v>460</v>
      </c>
      <c r="B139" s="769" t="e">
        <f>IF('RT03-F12'!F140&lt;=('DATOS '!H157),"0,078",'RT03-F12'!F140)</f>
        <v>#N/A</v>
      </c>
      <c r="C139" s="770" t="s">
        <v>395</v>
      </c>
      <c r="D139" s="771" t="e">
        <f>'RT03-F12'!H140</f>
        <v>#N/A</v>
      </c>
      <c r="E139" s="769" t="s">
        <v>70</v>
      </c>
      <c r="F139" s="772"/>
    </row>
    <row r="140" spans="1:6" ht="20.100000000000001" customHeight="1" thickTop="1" x14ac:dyDescent="0.35">
      <c r="A140" s="773"/>
      <c r="B140" s="774"/>
      <c r="C140" s="774"/>
      <c r="D140" s="774"/>
      <c r="E140" s="775"/>
      <c r="F140" s="775"/>
    </row>
    <row r="141" spans="1:6" ht="18" customHeight="1" x14ac:dyDescent="0.2">
      <c r="A141" s="1335" t="s">
        <v>90</v>
      </c>
      <c r="B141" s="1335"/>
      <c r="C141" s="1335"/>
      <c r="D141" s="1335"/>
      <c r="E141" s="1335"/>
      <c r="F141" s="1335"/>
    </row>
    <row r="142" spans="1:6" ht="18" customHeight="1" x14ac:dyDescent="0.2">
      <c r="A142" s="1335"/>
      <c r="B142" s="1335"/>
      <c r="C142" s="1335"/>
      <c r="D142" s="1335"/>
      <c r="E142" s="1335"/>
      <c r="F142" s="1335"/>
    </row>
    <row r="143" spans="1:6" ht="18" customHeight="1" x14ac:dyDescent="0.2">
      <c r="A143" s="719"/>
      <c r="B143" s="719"/>
      <c r="C143" s="719"/>
      <c r="D143" s="719"/>
      <c r="E143" s="719"/>
      <c r="F143" s="719"/>
    </row>
    <row r="144" spans="1:6" ht="18" customHeight="1" x14ac:dyDescent="0.2">
      <c r="A144" s="745"/>
      <c r="B144" s="745"/>
      <c r="C144" s="745"/>
      <c r="D144" s="745"/>
      <c r="E144" s="745"/>
      <c r="F144" s="745"/>
    </row>
    <row r="145" spans="1:9" ht="18" customHeight="1" x14ac:dyDescent="0.2">
      <c r="A145" s="745"/>
      <c r="B145" s="745"/>
      <c r="C145" s="745"/>
      <c r="D145" s="745"/>
      <c r="E145" s="745"/>
      <c r="F145" s="745"/>
    </row>
    <row r="146" spans="1:9" ht="18" customHeight="1" thickBot="1" x14ac:dyDescent="0.25">
      <c r="A146" s="745"/>
      <c r="B146" s="745"/>
      <c r="C146" s="745"/>
      <c r="D146" s="776"/>
      <c r="E146" s="776"/>
      <c r="F146" s="776"/>
    </row>
    <row r="147" spans="1:9" ht="20.100000000000001" customHeight="1" thickBot="1" x14ac:dyDescent="0.25">
      <c r="A147" s="777" t="s">
        <v>466</v>
      </c>
      <c r="B147" s="1336" t="s">
        <v>396</v>
      </c>
      <c r="C147" s="1295"/>
      <c r="D147" s="1295"/>
      <c r="E147" s="767"/>
      <c r="F147" s="713"/>
    </row>
    <row r="148" spans="1:9" ht="20.100000000000001" customHeight="1" thickBot="1" x14ac:dyDescent="0.25">
      <c r="A148" s="778" t="s">
        <v>91</v>
      </c>
      <c r="B148" s="1336" t="s">
        <v>92</v>
      </c>
      <c r="C148" s="1295"/>
      <c r="D148" s="1295"/>
      <c r="E148" s="720"/>
      <c r="F148" s="720"/>
      <c r="G148" s="720"/>
      <c r="H148" s="720"/>
      <c r="I148" s="720"/>
    </row>
    <row r="149" spans="1:9" ht="20.100000000000001" customHeight="1" thickBot="1" x14ac:dyDescent="0.25">
      <c r="A149" s="779" t="s">
        <v>93</v>
      </c>
      <c r="B149" s="1336" t="s">
        <v>94</v>
      </c>
      <c r="C149" s="1295"/>
      <c r="D149" s="1295"/>
      <c r="E149" s="713"/>
      <c r="F149" s="713"/>
    </row>
    <row r="150" spans="1:9" ht="18" customHeight="1" x14ac:dyDescent="0.2">
      <c r="E150" s="713"/>
      <c r="F150" s="713"/>
    </row>
    <row r="151" spans="1:9" ht="18" customHeight="1" x14ac:dyDescent="0.2">
      <c r="A151" s="1332"/>
      <c r="B151" s="1332"/>
      <c r="C151" s="1332"/>
      <c r="D151" s="1332"/>
      <c r="E151" s="780"/>
      <c r="F151" s="713"/>
    </row>
    <row r="152" spans="1:9" ht="120" customHeight="1" x14ac:dyDescent="0.2">
      <c r="D152" s="710"/>
      <c r="E152" s="710"/>
      <c r="F152" s="710"/>
    </row>
    <row r="153" spans="1:9" ht="18" customHeight="1" x14ac:dyDescent="0.2">
      <c r="D153" s="1300" t="s">
        <v>398</v>
      </c>
      <c r="E153" s="1300"/>
      <c r="F153" s="708" t="e">
        <f>F2</f>
        <v>#N/A</v>
      </c>
    </row>
    <row r="154" spans="1:9" ht="20.100000000000001" customHeight="1" x14ac:dyDescent="0.2">
      <c r="A154" s="1296" t="s">
        <v>459</v>
      </c>
      <c r="B154" s="1296"/>
      <c r="C154" s="1296"/>
      <c r="D154" s="781"/>
      <c r="E154" s="781"/>
      <c r="F154" s="781"/>
    </row>
    <row r="155" spans="1:9" ht="12" customHeight="1" x14ac:dyDescent="0.2">
      <c r="A155" s="1334" t="s">
        <v>439</v>
      </c>
      <c r="B155" s="1334"/>
      <c r="C155" s="1334"/>
      <c r="D155" s="1334"/>
      <c r="E155" s="1334"/>
      <c r="F155" s="1334"/>
    </row>
    <row r="156" spans="1:9" ht="20.100000000000001" customHeight="1" x14ac:dyDescent="0.2">
      <c r="A156" s="1333" t="s">
        <v>461</v>
      </c>
      <c r="B156" s="1333"/>
      <c r="C156" s="1333"/>
      <c r="D156" s="1333"/>
      <c r="E156" s="1333"/>
      <c r="F156" s="1333"/>
    </row>
    <row r="157" spans="1:9" ht="20.100000000000001" customHeight="1" x14ac:dyDescent="0.2">
      <c r="A157" s="1333" t="s">
        <v>479</v>
      </c>
      <c r="B157" s="1333"/>
      <c r="C157" s="1333"/>
      <c r="D157" s="1333"/>
      <c r="E157" s="1333"/>
      <c r="F157" s="1333"/>
    </row>
    <row r="158" spans="1:9" ht="20.100000000000001" customHeight="1" x14ac:dyDescent="0.2">
      <c r="A158" s="1333" t="s">
        <v>437</v>
      </c>
      <c r="B158" s="1333"/>
      <c r="C158" s="1333"/>
      <c r="D158" s="1333"/>
      <c r="E158" s="1333"/>
      <c r="F158" s="1333"/>
    </row>
    <row r="159" spans="1:9" ht="20.100000000000001" customHeight="1" x14ac:dyDescent="0.2">
      <c r="A159" s="1333" t="s">
        <v>438</v>
      </c>
      <c r="B159" s="1333"/>
      <c r="C159" s="1333"/>
      <c r="D159" s="1333"/>
      <c r="E159" s="1333"/>
      <c r="F159" s="1333"/>
    </row>
    <row r="160" spans="1:9" ht="20.100000000000001" customHeight="1" x14ac:dyDescent="0.2">
      <c r="A160" s="1333" t="s">
        <v>476</v>
      </c>
      <c r="B160" s="1333"/>
      <c r="C160" s="1333"/>
      <c r="D160" s="1333"/>
      <c r="E160" s="1333"/>
      <c r="F160" s="1333"/>
    </row>
    <row r="161" spans="1:6" ht="9" customHeight="1" x14ac:dyDescent="0.2">
      <c r="A161" s="782"/>
      <c r="B161" s="782"/>
      <c r="C161" s="782"/>
      <c r="D161" s="782"/>
      <c r="E161" s="782"/>
      <c r="F161" s="782"/>
    </row>
    <row r="162" spans="1:6" ht="30" customHeight="1" x14ac:dyDescent="0.2">
      <c r="A162" s="1334"/>
      <c r="B162" s="1334"/>
      <c r="C162" s="1334"/>
      <c r="D162" s="1334"/>
      <c r="E162" s="1334"/>
      <c r="F162" s="1334"/>
    </row>
    <row r="163" spans="1:6" ht="30" customHeight="1" x14ac:dyDescent="0.2">
      <c r="A163" s="782"/>
      <c r="B163" s="782"/>
      <c r="C163" s="782"/>
      <c r="D163" s="782"/>
      <c r="E163" s="782"/>
      <c r="F163" s="782"/>
    </row>
    <row r="164" spans="1:6" ht="30" customHeight="1" x14ac:dyDescent="0.2">
      <c r="A164" s="782"/>
      <c r="B164" s="782"/>
      <c r="C164" s="782"/>
      <c r="D164" s="782"/>
      <c r="E164" s="782"/>
      <c r="F164" s="782"/>
    </row>
    <row r="165" spans="1:6" ht="30" customHeight="1" x14ac:dyDescent="0.2">
      <c r="A165" s="787"/>
      <c r="B165" s="787"/>
      <c r="C165" s="806"/>
      <c r="D165" s="709"/>
      <c r="E165" s="709"/>
      <c r="F165" s="806"/>
    </row>
    <row r="166" spans="1:6" ht="20.100000000000001" customHeight="1" x14ac:dyDescent="0.2">
      <c r="A166" s="1328" t="s">
        <v>399</v>
      </c>
      <c r="B166" s="1328"/>
      <c r="C166" s="1328"/>
    </row>
    <row r="167" spans="1:6" ht="15" customHeight="1" x14ac:dyDescent="0.2">
      <c r="B167" s="783"/>
      <c r="C167" s="784"/>
    </row>
    <row r="168" spans="1:6" ht="15" customHeight="1" x14ac:dyDescent="0.2">
      <c r="A168" s="1329" t="s">
        <v>95</v>
      </c>
      <c r="B168" s="1329"/>
      <c r="C168" s="1329"/>
      <c r="D168" s="1329" t="s">
        <v>115</v>
      </c>
      <c r="E168" s="1329"/>
      <c r="F168" s="1329"/>
    </row>
    <row r="169" spans="1:6" ht="15" customHeight="1" x14ac:dyDescent="0.2">
      <c r="A169" s="1330" t="s">
        <v>462</v>
      </c>
      <c r="B169" s="1330"/>
      <c r="C169" s="1330"/>
      <c r="D169" s="1330" t="s">
        <v>463</v>
      </c>
      <c r="E169" s="1330"/>
      <c r="F169" s="1330"/>
    </row>
    <row r="170" spans="1:6" ht="20.25" customHeight="1" x14ac:dyDescent="0.2">
      <c r="A170" s="1330" t="e">
        <f>VLOOKUP($C$165,'DATOS '!$A$113:$D$159,4,FALSE)</f>
        <v>#N/A</v>
      </c>
      <c r="B170" s="1330"/>
      <c r="C170" s="1330"/>
      <c r="D170" s="1330" t="e">
        <f>VLOOKUP($F$165,'DATOS '!A156:F159,6,FALSE)</f>
        <v>#N/A</v>
      </c>
      <c r="E170" s="1330"/>
      <c r="F170" s="1330"/>
    </row>
    <row r="171" spans="1:6" ht="15" customHeight="1" x14ac:dyDescent="0.2">
      <c r="A171" s="1330" t="e">
        <f>VLOOKUP($C$165,'DATOS '!$A$113:$H$168,2,FALSE)</f>
        <v>#N/A</v>
      </c>
      <c r="B171" s="1330"/>
      <c r="C171" s="1330"/>
      <c r="D171" s="1330" t="e">
        <f>VLOOKUP($F$165,'DATOS '!A156:F159,2,FALSE)</f>
        <v>#N/A</v>
      </c>
      <c r="E171" s="1330"/>
      <c r="F171" s="1330"/>
    </row>
    <row r="173" spans="1:6" s="788" customFormat="1" ht="9.9499999999999993" customHeight="1" x14ac:dyDescent="0.2">
      <c r="B173" s="1327" t="s">
        <v>117</v>
      </c>
      <c r="C173" s="1327"/>
      <c r="D173" s="1327"/>
      <c r="E173" s="1327"/>
    </row>
    <row r="174" spans="1:6" ht="15" customHeight="1" x14ac:dyDescent="0.2">
      <c r="B174" s="789"/>
      <c r="C174" s="789"/>
      <c r="D174" s="789"/>
      <c r="E174" s="789"/>
    </row>
  </sheetData>
  <sheetProtection algorithmName="SHA-512" hashValue="9SdsEWPaDSZss4pa+dvPFEthh/Ad0fQMLYq9m2RvuTg2ID6Aoa1TYa0kwDDIIef93H1vfrrQKl2iNzP88hOPtA==" saltValue="OFYijDVhaso39yyThN4q1g==" spinCount="100000" sheet="1" objects="1" scenarios="1"/>
  <mergeCells count="83">
    <mergeCell ref="A66:F68"/>
    <mergeCell ref="A72:B72"/>
    <mergeCell ref="A74:D74"/>
    <mergeCell ref="A88:F91"/>
    <mergeCell ref="A54:C54"/>
    <mergeCell ref="D71:E71"/>
    <mergeCell ref="D112:E112"/>
    <mergeCell ref="D153:E153"/>
    <mergeCell ref="A93:D93"/>
    <mergeCell ref="A95:C95"/>
    <mergeCell ref="A103:C103"/>
    <mergeCell ref="A136:F137"/>
    <mergeCell ref="A151:D151"/>
    <mergeCell ref="A157:F157"/>
    <mergeCell ref="A158:F158"/>
    <mergeCell ref="A159:F159"/>
    <mergeCell ref="A160:F160"/>
    <mergeCell ref="A162:F162"/>
    <mergeCell ref="A131:F132"/>
    <mergeCell ref="A133:C133"/>
    <mergeCell ref="A134:E134"/>
    <mergeCell ref="A156:F156"/>
    <mergeCell ref="A155:F155"/>
    <mergeCell ref="A141:F142"/>
    <mergeCell ref="B147:D147"/>
    <mergeCell ref="B148:D148"/>
    <mergeCell ref="B149:D149"/>
    <mergeCell ref="A154:C154"/>
    <mergeCell ref="B173:E173"/>
    <mergeCell ref="A166:C166"/>
    <mergeCell ref="D168:F168"/>
    <mergeCell ref="A169:C169"/>
    <mergeCell ref="A170:C170"/>
    <mergeCell ref="D170:F170"/>
    <mergeCell ref="A171:C171"/>
    <mergeCell ref="D171:F171"/>
    <mergeCell ref="A168:C168"/>
    <mergeCell ref="D169:F169"/>
    <mergeCell ref="A64:B64"/>
    <mergeCell ref="A48:B48"/>
    <mergeCell ref="A42:F42"/>
    <mergeCell ref="A56:C56"/>
    <mergeCell ref="A44:F44"/>
    <mergeCell ref="A52:F52"/>
    <mergeCell ref="C50:D50"/>
    <mergeCell ref="A50:B50"/>
    <mergeCell ref="A29:F29"/>
    <mergeCell ref="A38:F38"/>
    <mergeCell ref="A46:B46"/>
    <mergeCell ref="A34:D34"/>
    <mergeCell ref="A49:B49"/>
    <mergeCell ref="C46:D46"/>
    <mergeCell ref="C47:D47"/>
    <mergeCell ref="C48:D48"/>
    <mergeCell ref="C49:D49"/>
    <mergeCell ref="A47:B47"/>
    <mergeCell ref="A31:F32"/>
    <mergeCell ref="D41:E41"/>
    <mergeCell ref="A7:B7"/>
    <mergeCell ref="C7:D7"/>
    <mergeCell ref="A19:B19"/>
    <mergeCell ref="A20:B20"/>
    <mergeCell ref="D2:E2"/>
    <mergeCell ref="A3:C3"/>
    <mergeCell ref="A5:B5"/>
    <mergeCell ref="C5:F5"/>
    <mergeCell ref="A6:B6"/>
    <mergeCell ref="C6:D6"/>
    <mergeCell ref="A18:B18"/>
    <mergeCell ref="A9:B9"/>
    <mergeCell ref="D9:E9"/>
    <mergeCell ref="A17:B17"/>
    <mergeCell ref="C16:D16"/>
    <mergeCell ref="A11:F11"/>
    <mergeCell ref="C13:D13"/>
    <mergeCell ref="C14:D14"/>
    <mergeCell ref="C15:D15"/>
    <mergeCell ref="A27:B27"/>
    <mergeCell ref="C27:E27"/>
    <mergeCell ref="A22:F22"/>
    <mergeCell ref="A15:B15"/>
    <mergeCell ref="A24:F24"/>
    <mergeCell ref="A25:F25"/>
  </mergeCells>
  <printOptions horizontalCentered="1"/>
  <pageMargins left="0.23622047244094491" right="0.23622047244094491" top="0.74803149606299213" bottom="0.74803149606299213" header="0.31496062992125984" footer="0.31496062992125984"/>
  <pageSetup scale="82" orientation="portrait" horizontalDpi="4294967293" r:id="rId1"/>
  <headerFooter>
    <oddHeader xml:space="preserve">&amp;C 
&amp;"Arial Narrow,Negrita"&amp;14 
CERTIFICADO DE CALIBRACIÓN 
DE  BALANZAS&amp;R&amp;"-,Negrita"&amp;12
             </oddHeader>
    <oddFooter>&amp;R&amp;8
  RT03-F15  Vr.6 (2019-05-15)
&amp;P de &amp;[Páginas</oddFooter>
  </headerFooter>
  <rowBreaks count="4" manualBreakCount="4">
    <brk id="38" max="5" man="1"/>
    <brk id="69" max="5" man="1"/>
    <brk id="110" max="16383" man="1"/>
    <brk id="1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'!$A$156:$A$158</xm:f>
          </x14:formula1>
          <xm:sqref>C165</xm:sqref>
        </x14:dataValidation>
        <x14:dataValidation type="list" allowBlank="1" showInputMessage="1" showErrorMessage="1">
          <x14:formula1>
            <xm:f>'DATOS '!$A$156:$A$159</xm:f>
          </x14:formula1>
          <xm:sqref>F165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74"/>
  <sheetViews>
    <sheetView showGridLines="0" showRuler="0" showWhiteSpace="0" view="pageBreakPreview" zoomScale="70" zoomScaleNormal="110" zoomScaleSheetLayoutView="70" zoomScalePageLayoutView="85" workbookViewId="0">
      <selection activeCell="A29" sqref="A29:F29"/>
    </sheetView>
  </sheetViews>
  <sheetFormatPr baseColWidth="10" defaultRowHeight="15" customHeight="1" x14ac:dyDescent="0.2"/>
  <cols>
    <col min="1" max="6" width="17.7109375" style="86" customWidth="1"/>
    <col min="7" max="16384" width="11.42578125" style="86"/>
  </cols>
  <sheetData>
    <row r="1" spans="1:6" ht="120" customHeight="1" x14ac:dyDescent="0.2">
      <c r="A1" s="706"/>
      <c r="B1" s="706"/>
      <c r="C1" s="707"/>
      <c r="D1" s="707"/>
      <c r="E1" s="707"/>
      <c r="F1" s="707"/>
    </row>
    <row r="2" spans="1:6" ht="18" customHeight="1" x14ac:dyDescent="0.2">
      <c r="A2" s="89"/>
      <c r="B2" s="89"/>
      <c r="D2" s="1300" t="s">
        <v>491</v>
      </c>
      <c r="E2" s="1300"/>
      <c r="F2" s="708" t="e">
        <f>'RT03-F12'!I6</f>
        <v>#N/A</v>
      </c>
    </row>
    <row r="3" spans="1:6" ht="20.100000000000001" customHeight="1" x14ac:dyDescent="0.2">
      <c r="A3" s="1296" t="s">
        <v>76</v>
      </c>
      <c r="B3" s="1296"/>
      <c r="C3" s="1296"/>
    </row>
    <row r="4" spans="1:6" ht="12" customHeight="1" x14ac:dyDescent="0.2">
      <c r="A4" s="709"/>
      <c r="B4" s="710"/>
      <c r="C4" s="710"/>
      <c r="D4" s="710"/>
      <c r="E4" s="710"/>
      <c r="F4" s="710"/>
    </row>
    <row r="5" spans="1:6" ht="20.100000000000001" customHeight="1" x14ac:dyDescent="0.2">
      <c r="A5" s="1295" t="s">
        <v>384</v>
      </c>
      <c r="B5" s="1295"/>
      <c r="C5" s="1299" t="e">
        <f>'RT03-F12'!G6</f>
        <v>#N/A</v>
      </c>
      <c r="D5" s="1295"/>
      <c r="E5" s="1295"/>
      <c r="F5" s="1295"/>
    </row>
    <row r="6" spans="1:6" ht="20.100000000000001" customHeight="1" x14ac:dyDescent="0.2">
      <c r="A6" s="1295" t="s">
        <v>77</v>
      </c>
      <c r="B6" s="1295"/>
      <c r="C6" s="1299" t="e">
        <f>'RT03-F12'!H6</f>
        <v>#N/A</v>
      </c>
      <c r="D6" s="1299"/>
      <c r="E6" s="711"/>
      <c r="F6" s="711"/>
    </row>
    <row r="7" spans="1:6" ht="20.100000000000001" customHeight="1" x14ac:dyDescent="0.2">
      <c r="A7" s="1295" t="s">
        <v>78</v>
      </c>
      <c r="B7" s="1295"/>
      <c r="C7" s="1299" t="e">
        <f>'RT03-F12'!B6</f>
        <v>#N/A</v>
      </c>
      <c r="D7" s="1295"/>
      <c r="E7" s="712"/>
      <c r="F7" s="712"/>
    </row>
    <row r="8" spans="1:6" ht="15" customHeight="1" x14ac:dyDescent="0.2">
      <c r="A8" s="713"/>
      <c r="B8" s="713"/>
      <c r="C8" s="714"/>
      <c r="D8" s="713"/>
      <c r="E8" s="715"/>
      <c r="F8" s="715"/>
    </row>
    <row r="9" spans="1:6" ht="15" customHeight="1" x14ac:dyDescent="0.2">
      <c r="A9" s="1295" t="s">
        <v>79</v>
      </c>
      <c r="B9" s="1295"/>
      <c r="C9" s="716" t="e">
        <f>'RT03-F12'!C6</f>
        <v>#N/A</v>
      </c>
      <c r="D9" s="1301" t="s">
        <v>81</v>
      </c>
      <c r="E9" s="1301"/>
      <c r="F9" s="716" t="e">
        <f>'RT03-F12'!F6</f>
        <v>#N/A</v>
      </c>
    </row>
    <row r="10" spans="1:6" ht="15" customHeight="1" x14ac:dyDescent="0.2">
      <c r="A10" s="713"/>
      <c r="B10" s="713"/>
      <c r="C10" s="716"/>
      <c r="D10" s="717"/>
      <c r="E10" s="717"/>
      <c r="F10" s="716"/>
    </row>
    <row r="11" spans="1:6" ht="20.100000000000001" customHeight="1" x14ac:dyDescent="0.2">
      <c r="A11" s="1296" t="s">
        <v>449</v>
      </c>
      <c r="B11" s="1296"/>
      <c r="C11" s="1296"/>
      <c r="D11" s="1296"/>
      <c r="E11" s="1296"/>
      <c r="F11" s="1296"/>
    </row>
    <row r="12" spans="1:6" ht="12" customHeight="1" x14ac:dyDescent="0.2">
      <c r="A12" s="718"/>
      <c r="B12" s="718"/>
      <c r="C12" s="718"/>
      <c r="D12" s="718"/>
      <c r="E12" s="715"/>
      <c r="F12" s="715"/>
    </row>
    <row r="13" spans="1:6" ht="20.100000000000001" customHeight="1" x14ac:dyDescent="0.2">
      <c r="A13" s="719" t="s">
        <v>481</v>
      </c>
      <c r="B13" s="719"/>
      <c r="C13" s="1294" t="s">
        <v>450</v>
      </c>
      <c r="D13" s="1294"/>
      <c r="E13" s="715"/>
      <c r="F13" s="715"/>
    </row>
    <row r="14" spans="1:6" ht="20.100000000000001" customHeight="1" x14ac:dyDescent="0.2">
      <c r="A14" s="719" t="s">
        <v>489</v>
      </c>
      <c r="B14" s="719"/>
      <c r="C14" s="1295" t="e">
        <f>'RT03-F12'!D9</f>
        <v>#N/A</v>
      </c>
      <c r="D14" s="1295"/>
      <c r="E14" s="715"/>
      <c r="F14" s="715"/>
    </row>
    <row r="15" spans="1:6" ht="20.100000000000001" customHeight="1" x14ac:dyDescent="0.2">
      <c r="A15" s="1295" t="s">
        <v>490</v>
      </c>
      <c r="B15" s="1295"/>
      <c r="C15" s="1295" t="e">
        <f>'RT03-F12'!D11</f>
        <v>#N/A</v>
      </c>
      <c r="D15" s="1295"/>
      <c r="E15" s="715"/>
      <c r="F15" s="715"/>
    </row>
    <row r="16" spans="1:6" ht="20.100000000000001" customHeight="1" x14ac:dyDescent="0.2">
      <c r="A16" s="719" t="s">
        <v>484</v>
      </c>
      <c r="B16" s="719"/>
      <c r="C16" s="1295" t="e">
        <f>'RT03-F12'!D10</f>
        <v>#N/A</v>
      </c>
      <c r="D16" s="1295"/>
      <c r="E16" s="715"/>
      <c r="F16" s="715"/>
    </row>
    <row r="17" spans="1:6" ht="20.100000000000001" customHeight="1" x14ac:dyDescent="0.2">
      <c r="A17" s="1295" t="s">
        <v>485</v>
      </c>
      <c r="B17" s="1295"/>
      <c r="C17" s="720" t="e">
        <f>'RT03-F12'!D12</f>
        <v>#N/A</v>
      </c>
      <c r="D17" s="713" t="s">
        <v>85</v>
      </c>
      <c r="E17" s="713"/>
      <c r="F17" s="713"/>
    </row>
    <row r="18" spans="1:6" ht="20.100000000000001" customHeight="1" x14ac:dyDescent="0.2">
      <c r="A18" s="1295" t="s">
        <v>486</v>
      </c>
      <c r="B18" s="1295"/>
      <c r="C18" s="720" t="e">
        <f>'RT03-F12'!D13</f>
        <v>#N/A</v>
      </c>
      <c r="D18" s="713" t="s">
        <v>85</v>
      </c>
      <c r="E18" s="713"/>
      <c r="F18" s="713"/>
    </row>
    <row r="19" spans="1:6" ht="20.100000000000001" customHeight="1" x14ac:dyDescent="0.2">
      <c r="A19" s="1295" t="s">
        <v>467</v>
      </c>
      <c r="B19" s="1295"/>
      <c r="C19" s="721" t="e">
        <f>'RT03-F12'!D14</f>
        <v>#N/A</v>
      </c>
      <c r="D19" s="713" t="s">
        <v>85</v>
      </c>
      <c r="E19" s="713"/>
      <c r="F19" s="713"/>
    </row>
    <row r="20" spans="1:6" ht="20.100000000000001" customHeight="1" x14ac:dyDescent="0.2">
      <c r="A20" s="1295" t="s">
        <v>114</v>
      </c>
      <c r="B20" s="1295"/>
      <c r="C20" s="810" t="e">
        <f>'RT03-F12'!D15</f>
        <v>#N/A</v>
      </c>
      <c r="D20" s="713" t="s">
        <v>85</v>
      </c>
      <c r="E20" s="713"/>
      <c r="F20" s="713"/>
    </row>
    <row r="22" spans="1:6" ht="20.100000000000001" customHeight="1" x14ac:dyDescent="0.2">
      <c r="A22" s="1296" t="s">
        <v>451</v>
      </c>
      <c r="B22" s="1296"/>
      <c r="C22" s="1296"/>
      <c r="D22" s="1296"/>
      <c r="E22" s="1296"/>
      <c r="F22" s="1296"/>
    </row>
    <row r="23" spans="1:6" ht="12" customHeight="1" x14ac:dyDescent="0.2">
      <c r="A23" s="790"/>
      <c r="B23" s="790"/>
      <c r="C23" s="790"/>
      <c r="D23" s="790"/>
      <c r="E23" s="790"/>
      <c r="F23" s="790"/>
    </row>
    <row r="24" spans="1:6" ht="17.100000000000001" customHeight="1" x14ac:dyDescent="0.2">
      <c r="A24" s="1298" t="e">
        <f>C7</f>
        <v>#N/A</v>
      </c>
      <c r="B24" s="1298"/>
      <c r="C24" s="1298"/>
      <c r="D24" s="1298"/>
      <c r="E24" s="1298"/>
      <c r="F24" s="1298"/>
    </row>
    <row r="25" spans="1:6" ht="17.100000000000001" customHeight="1" x14ac:dyDescent="0.2">
      <c r="A25" s="1298" t="e">
        <f>C6</f>
        <v>#N/A</v>
      </c>
      <c r="B25" s="1298"/>
      <c r="C25" s="1298"/>
      <c r="D25" s="1298"/>
      <c r="E25" s="1298"/>
      <c r="F25" s="1298"/>
    </row>
    <row r="26" spans="1:6" ht="20.100000000000001" customHeight="1" x14ac:dyDescent="0.2">
      <c r="A26" s="723"/>
      <c r="B26" s="710"/>
      <c r="C26" s="723"/>
      <c r="D26" s="710"/>
      <c r="E26" s="722"/>
      <c r="F26" s="722"/>
    </row>
    <row r="27" spans="1:6" ht="20.100000000000001" customHeight="1" x14ac:dyDescent="0.2">
      <c r="A27" s="1296" t="s">
        <v>452</v>
      </c>
      <c r="B27" s="1296"/>
      <c r="C27" s="1297" t="e">
        <f>'RT03-F12'!D6</f>
        <v>#N/A</v>
      </c>
      <c r="D27" s="1297"/>
      <c r="E27" s="1297"/>
      <c r="F27" s="722"/>
    </row>
    <row r="28" spans="1:6" ht="20.100000000000001" customHeight="1" x14ac:dyDescent="0.2">
      <c r="D28" s="724"/>
      <c r="E28" s="710"/>
      <c r="F28" s="710"/>
    </row>
    <row r="29" spans="1:6" ht="20.100000000000001" customHeight="1" x14ac:dyDescent="0.2">
      <c r="A29" s="1302" t="s">
        <v>453</v>
      </c>
      <c r="B29" s="1302"/>
      <c r="C29" s="1302"/>
      <c r="D29" s="1302"/>
      <c r="E29" s="1302"/>
      <c r="F29" s="1302"/>
    </row>
    <row r="30" spans="1:6" ht="12.75" customHeight="1" x14ac:dyDescent="0.2">
      <c r="A30" s="725"/>
      <c r="B30" s="725"/>
      <c r="C30" s="725"/>
      <c r="D30" s="724"/>
      <c r="E30" s="710"/>
      <c r="F30" s="710"/>
    </row>
    <row r="31" spans="1:6" ht="25.5" customHeight="1" x14ac:dyDescent="0.2">
      <c r="A31" s="1337" t="s">
        <v>468</v>
      </c>
      <c r="B31" s="1337"/>
      <c r="C31" s="1337"/>
      <c r="D31" s="1337"/>
      <c r="E31" s="1337"/>
      <c r="F31" s="1337"/>
    </row>
    <row r="32" spans="1:6" ht="25.5" customHeight="1" x14ac:dyDescent="0.2">
      <c r="A32" s="1337"/>
      <c r="B32" s="1337"/>
      <c r="C32" s="1337"/>
      <c r="D32" s="1337"/>
      <c r="E32" s="1337"/>
      <c r="F32" s="1337"/>
    </row>
    <row r="33" spans="1:6" ht="20.100000000000001" customHeight="1" x14ac:dyDescent="0.2">
      <c r="A33" s="719"/>
      <c r="B33" s="719"/>
      <c r="C33" s="719"/>
      <c r="D33" s="719"/>
      <c r="E33" s="719"/>
      <c r="F33" s="719"/>
    </row>
    <row r="34" spans="1:6" ht="20.100000000000001" customHeight="1" x14ac:dyDescent="0.2">
      <c r="A34" s="1296" t="s">
        <v>454</v>
      </c>
      <c r="B34" s="1296"/>
      <c r="C34" s="1296"/>
      <c r="D34" s="1296"/>
      <c r="E34" s="710"/>
      <c r="F34" s="710"/>
    </row>
    <row r="35" spans="1:6" ht="12" customHeight="1" thickBot="1" x14ac:dyDescent="0.25">
      <c r="A35" s="727"/>
      <c r="B35" s="727"/>
      <c r="C35" s="727"/>
      <c r="D35" s="710"/>
      <c r="E35" s="710"/>
      <c r="F35" s="710"/>
    </row>
    <row r="36" spans="1:6" ht="39" customHeight="1" thickBot="1" x14ac:dyDescent="0.25">
      <c r="A36" s="748" t="s">
        <v>82</v>
      </c>
      <c r="B36" s="791" t="s">
        <v>83</v>
      </c>
      <c r="C36" s="791" t="s">
        <v>84</v>
      </c>
      <c r="D36" s="710"/>
      <c r="E36" s="710"/>
      <c r="F36" s="710"/>
    </row>
    <row r="37" spans="1:6" ht="39" customHeight="1" thickBot="1" x14ac:dyDescent="0.25">
      <c r="A37" s="792" t="e">
        <f>'RT03-F12'!E65</f>
        <v>#N/A</v>
      </c>
      <c r="B37" s="793" t="e">
        <f>'RT03-F12'!G65</f>
        <v>#N/A</v>
      </c>
      <c r="C37" s="793" t="e">
        <f>'RT03-F12'!I65</f>
        <v>#N/A</v>
      </c>
      <c r="D37" s="710"/>
      <c r="E37" s="710"/>
      <c r="F37" s="710"/>
    </row>
    <row r="38" spans="1:6" ht="15" customHeight="1" x14ac:dyDescent="0.2">
      <c r="A38" s="1303" t="s">
        <v>477</v>
      </c>
      <c r="B38" s="1303"/>
      <c r="C38" s="1303"/>
      <c r="D38" s="1303"/>
      <c r="E38" s="1303"/>
      <c r="F38" s="1303"/>
    </row>
    <row r="39" spans="1:6" ht="20.100000000000001" customHeight="1" x14ac:dyDescent="0.2">
      <c r="A39" s="727"/>
      <c r="B39" s="727"/>
      <c r="C39" s="727"/>
      <c r="D39" s="710"/>
      <c r="E39" s="710"/>
      <c r="F39" s="710"/>
    </row>
    <row r="40" spans="1:6" ht="120" customHeight="1" x14ac:dyDescent="0.2">
      <c r="A40" s="727"/>
      <c r="B40" s="727"/>
      <c r="C40" s="727"/>
      <c r="D40" s="710"/>
      <c r="E40" s="710"/>
      <c r="F40" s="710"/>
    </row>
    <row r="41" spans="1:6" ht="18" customHeight="1" x14ac:dyDescent="0.2">
      <c r="A41" s="727"/>
      <c r="B41" s="727"/>
      <c r="C41" s="727"/>
      <c r="D41" s="1300" t="s">
        <v>492</v>
      </c>
      <c r="E41" s="1300"/>
      <c r="F41" s="708" t="e">
        <f>F2</f>
        <v>#N/A</v>
      </c>
    </row>
    <row r="42" spans="1:6" ht="20.100000000000001" customHeight="1" x14ac:dyDescent="0.2">
      <c r="A42" s="1320" t="s">
        <v>470</v>
      </c>
      <c r="B42" s="1320"/>
      <c r="C42" s="1320"/>
      <c r="D42" s="1320"/>
      <c r="E42" s="1320"/>
      <c r="F42" s="1320"/>
    </row>
    <row r="43" spans="1:6" ht="12" customHeight="1" x14ac:dyDescent="0.2">
      <c r="A43" s="728"/>
      <c r="B43" s="728"/>
      <c r="C43" s="728"/>
      <c r="D43" s="728"/>
      <c r="E43" s="728"/>
      <c r="F43" s="728"/>
    </row>
    <row r="44" spans="1:6" ht="60" customHeight="1" x14ac:dyDescent="0.2">
      <c r="A44" s="1347" t="s">
        <v>455</v>
      </c>
      <c r="B44" s="1347"/>
      <c r="C44" s="1347"/>
      <c r="D44" s="1347"/>
      <c r="E44" s="1347"/>
      <c r="F44" s="1347"/>
    </row>
    <row r="45" spans="1:6" ht="12" customHeight="1" thickBot="1" x14ac:dyDescent="0.25">
      <c r="A45" s="729"/>
      <c r="B45" s="729"/>
      <c r="C45" s="729"/>
      <c r="D45" s="729"/>
      <c r="E45" s="729"/>
      <c r="F45" s="729"/>
    </row>
    <row r="46" spans="1:6" ht="27.95" customHeight="1" thickBot="1" x14ac:dyDescent="0.25">
      <c r="A46" s="1304" t="s">
        <v>472</v>
      </c>
      <c r="B46" s="1305"/>
      <c r="C46" s="1308" t="e">
        <f>'RT03-F12'!I12</f>
        <v>#N/A</v>
      </c>
      <c r="D46" s="1309"/>
      <c r="E46" s="727"/>
      <c r="F46" s="727"/>
    </row>
    <row r="47" spans="1:6" ht="27.95" customHeight="1" thickBot="1" x14ac:dyDescent="0.25">
      <c r="A47" s="1348" t="s">
        <v>471</v>
      </c>
      <c r="B47" s="1349"/>
      <c r="C47" s="1350"/>
      <c r="D47" s="1351"/>
      <c r="E47" s="710"/>
      <c r="F47" s="710"/>
    </row>
    <row r="48" spans="1:6" ht="27.95" customHeight="1" thickBot="1" x14ac:dyDescent="0.25">
      <c r="A48" s="1348" t="s">
        <v>478</v>
      </c>
      <c r="B48" s="1349"/>
      <c r="C48" s="1352" t="e">
        <f>'RT03-F12'!I13</f>
        <v>#N/A</v>
      </c>
      <c r="D48" s="1353"/>
      <c r="E48" s="710"/>
      <c r="F48" s="710"/>
    </row>
    <row r="49" spans="1:6" ht="27.95" customHeight="1" thickBot="1" x14ac:dyDescent="0.25">
      <c r="A49" s="1354" t="s">
        <v>252</v>
      </c>
      <c r="B49" s="1355"/>
      <c r="C49" s="1356" t="e">
        <f>'RT03-F12'!I14</f>
        <v>#N/A</v>
      </c>
      <c r="D49" s="1357"/>
      <c r="E49" s="710"/>
      <c r="F49" s="710"/>
    </row>
    <row r="50" spans="1:6" ht="27.95" customHeight="1" thickBot="1" x14ac:dyDescent="0.25">
      <c r="A50" s="1348" t="s">
        <v>473</v>
      </c>
      <c r="B50" s="1349"/>
      <c r="C50" s="1350"/>
      <c r="D50" s="1351"/>
      <c r="E50" s="710"/>
      <c r="F50" s="710"/>
    </row>
    <row r="51" spans="1:6" ht="20.100000000000001" customHeight="1" x14ac:dyDescent="0.2">
      <c r="A51" s="724"/>
      <c r="B51" s="724"/>
      <c r="C51" s="724"/>
      <c r="D51" s="710"/>
      <c r="E51" s="710"/>
      <c r="F51" s="710"/>
    </row>
    <row r="52" spans="1:6" ht="20.100000000000001" customHeight="1" x14ac:dyDescent="0.2">
      <c r="A52" s="1320" t="s">
        <v>456</v>
      </c>
      <c r="B52" s="1320"/>
      <c r="C52" s="1320"/>
      <c r="D52" s="1320"/>
      <c r="E52" s="1320"/>
      <c r="F52" s="1320"/>
    </row>
    <row r="53" spans="1:6" ht="12" customHeight="1" x14ac:dyDescent="0.2">
      <c r="A53" s="727"/>
      <c r="B53" s="727"/>
      <c r="C53" s="727"/>
      <c r="D53" s="727"/>
      <c r="E53" s="727"/>
      <c r="F53" s="727"/>
    </row>
    <row r="54" spans="1:6" ht="20.100000000000001" customHeight="1" x14ac:dyDescent="0.2">
      <c r="A54" s="1332" t="s">
        <v>87</v>
      </c>
      <c r="B54" s="1332"/>
      <c r="C54" s="1332"/>
      <c r="D54" s="727"/>
      <c r="E54" s="727"/>
      <c r="F54" s="727"/>
    </row>
    <row r="55" spans="1:6" ht="12" customHeight="1" thickBot="1" x14ac:dyDescent="0.25">
      <c r="A55" s="727"/>
      <c r="B55" s="727"/>
      <c r="C55" s="727"/>
      <c r="D55" s="710"/>
      <c r="E55" s="710"/>
      <c r="F55" s="710"/>
    </row>
    <row r="56" spans="1:6" ht="27.95" customHeight="1" thickBot="1" x14ac:dyDescent="0.25">
      <c r="A56" s="1321" t="s">
        <v>392</v>
      </c>
      <c r="B56" s="1322"/>
      <c r="C56" s="1323"/>
      <c r="D56" s="727"/>
      <c r="E56" s="727"/>
      <c r="F56" s="727"/>
    </row>
    <row r="57" spans="1:6" ht="27.95" customHeight="1" thickBot="1" x14ac:dyDescent="0.25">
      <c r="A57" s="730" t="str">
        <f>'RT03-F12'!C34</f>
        <v>Carga</v>
      </c>
      <c r="B57" s="731">
        <f>'RT03-F12'!E34</f>
        <v>0</v>
      </c>
      <c r="C57" s="732" t="str">
        <f>'RT03-F12'!D34</f>
        <v>(g)</v>
      </c>
      <c r="D57" s="727"/>
      <c r="E57" s="785" t="s">
        <v>86</v>
      </c>
      <c r="F57" s="727"/>
    </row>
    <row r="58" spans="1:6" ht="27.95" customHeight="1" thickBot="1" x14ac:dyDescent="0.25">
      <c r="A58" s="733" t="str">
        <f>'RT03-F12'!B35</f>
        <v>Posición</v>
      </c>
      <c r="B58" s="734" t="str">
        <f>'RT03-F12'!B36</f>
        <v>Indicación (g)</v>
      </c>
      <c r="C58" s="735" t="s">
        <v>130</v>
      </c>
      <c r="D58" s="727"/>
      <c r="E58" s="727"/>
      <c r="F58" s="727"/>
    </row>
    <row r="59" spans="1:6" ht="27.95" customHeight="1" x14ac:dyDescent="0.2">
      <c r="A59" s="736">
        <f>'RT03-F12'!C35</f>
        <v>1</v>
      </c>
      <c r="B59" s="737">
        <f>'RT03-F12'!C36</f>
        <v>0</v>
      </c>
      <c r="C59" s="738">
        <f>'RT03-F12'!C37</f>
        <v>0</v>
      </c>
      <c r="D59" s="727"/>
      <c r="F59" s="727"/>
    </row>
    <row r="60" spans="1:6" ht="27.95" customHeight="1" x14ac:dyDescent="0.2">
      <c r="A60" s="739">
        <f>'RT03-F12'!D35</f>
        <v>2</v>
      </c>
      <c r="B60" s="227">
        <f>'RT03-F12'!D36</f>
        <v>0</v>
      </c>
      <c r="C60" s="740">
        <f>'RT03-F12'!D37</f>
        <v>0</v>
      </c>
      <c r="D60" s="727"/>
      <c r="E60" s="727"/>
      <c r="F60" s="727"/>
    </row>
    <row r="61" spans="1:6" ht="27.95" customHeight="1" x14ac:dyDescent="0.2">
      <c r="A61" s="739">
        <f>'RT03-F12'!E35</f>
        <v>3</v>
      </c>
      <c r="B61" s="227">
        <f>'RT03-F12'!E36</f>
        <v>0</v>
      </c>
      <c r="C61" s="740">
        <f>'RT03-F12'!E37</f>
        <v>0</v>
      </c>
      <c r="D61" s="727"/>
      <c r="E61" s="727"/>
      <c r="F61" s="727"/>
    </row>
    <row r="62" spans="1:6" ht="27.95" customHeight="1" x14ac:dyDescent="0.2">
      <c r="A62" s="739">
        <f>'RT03-F12'!F35</f>
        <v>4</v>
      </c>
      <c r="B62" s="227">
        <f>'RT03-F12'!F36</f>
        <v>0</v>
      </c>
      <c r="C62" s="740">
        <f>'RT03-F12'!F37</f>
        <v>0</v>
      </c>
      <c r="D62" s="727"/>
      <c r="E62" s="727"/>
      <c r="F62" s="727"/>
    </row>
    <row r="63" spans="1:6" ht="27.95" customHeight="1" thickBot="1" x14ac:dyDescent="0.25">
      <c r="A63" s="741">
        <f>'RT03-F12'!G35</f>
        <v>5</v>
      </c>
      <c r="B63" s="742">
        <f>'RT03-F12'!G36</f>
        <v>0</v>
      </c>
      <c r="C63" s="743">
        <f>'RT03-F12'!G37</f>
        <v>0</v>
      </c>
      <c r="D63" s="727"/>
      <c r="E63" s="727"/>
      <c r="F63" s="727"/>
    </row>
    <row r="64" spans="1:6" ht="27.95" customHeight="1" thickBot="1" x14ac:dyDescent="0.25">
      <c r="A64" s="1318" t="s">
        <v>457</v>
      </c>
      <c r="B64" s="1319"/>
      <c r="C64" s="809">
        <f>'RT03-F12'!C39</f>
        <v>0</v>
      </c>
      <c r="D64" s="727"/>
      <c r="E64" s="727"/>
      <c r="F64" s="727"/>
    </row>
    <row r="65" spans="1:6" ht="12" customHeight="1" x14ac:dyDescent="0.2">
      <c r="A65" s="724"/>
      <c r="B65" s="744"/>
      <c r="C65" s="726"/>
      <c r="D65" s="727"/>
      <c r="E65" s="727"/>
      <c r="F65" s="727"/>
    </row>
    <row r="66" spans="1:6" ht="20.100000000000001" customHeight="1" x14ac:dyDescent="0.2">
      <c r="A66" s="1359" t="s">
        <v>474</v>
      </c>
      <c r="B66" s="1359"/>
      <c r="C66" s="1359"/>
      <c r="D66" s="1359"/>
      <c r="E66" s="1359"/>
      <c r="F66" s="1359"/>
    </row>
    <row r="67" spans="1:6" ht="20.100000000000001" customHeight="1" x14ac:dyDescent="0.2">
      <c r="A67" s="1359"/>
      <c r="B67" s="1359"/>
      <c r="C67" s="1359"/>
      <c r="D67" s="1359"/>
      <c r="E67" s="1359"/>
      <c r="F67" s="1359"/>
    </row>
    <row r="68" spans="1:6" ht="20.100000000000001" customHeight="1" x14ac:dyDescent="0.2">
      <c r="A68" s="1359"/>
      <c r="B68" s="1359"/>
      <c r="C68" s="1359"/>
      <c r="D68" s="1359"/>
      <c r="E68" s="1359"/>
      <c r="F68" s="1359"/>
    </row>
    <row r="69" spans="1:6" ht="20.100000000000001" customHeight="1" x14ac:dyDescent="0.2">
      <c r="A69" s="745"/>
      <c r="B69" s="745"/>
      <c r="C69" s="745"/>
      <c r="D69" s="745"/>
      <c r="E69" s="745"/>
      <c r="F69" s="745"/>
    </row>
    <row r="70" spans="1:6" ht="120" customHeight="1" x14ac:dyDescent="0.2">
      <c r="A70" s="745"/>
      <c r="B70" s="745"/>
      <c r="C70" s="745"/>
      <c r="D70" s="745"/>
      <c r="E70" s="745"/>
      <c r="F70" s="745"/>
    </row>
    <row r="71" spans="1:6" ht="18" customHeight="1" x14ac:dyDescent="0.2">
      <c r="A71" s="745"/>
      <c r="B71" s="745"/>
      <c r="C71" s="745"/>
      <c r="D71" s="1300" t="s">
        <v>491</v>
      </c>
      <c r="E71" s="1300"/>
      <c r="F71" s="708" t="e">
        <f>F2</f>
        <v>#N/A</v>
      </c>
    </row>
    <row r="72" spans="1:6" ht="15" customHeight="1" x14ac:dyDescent="0.2">
      <c r="A72" s="1332" t="s">
        <v>89</v>
      </c>
      <c r="B72" s="1332"/>
      <c r="E72" s="724"/>
      <c r="F72" s="724"/>
    </row>
    <row r="73" spans="1:6" ht="12" customHeight="1" thickBot="1" x14ac:dyDescent="0.25">
      <c r="E73" s="724"/>
    </row>
    <row r="74" spans="1:6" ht="15" customHeight="1" thickBot="1" x14ac:dyDescent="0.25">
      <c r="A74" s="1342" t="s">
        <v>393</v>
      </c>
      <c r="B74" s="1343"/>
      <c r="C74" s="1343"/>
      <c r="D74" s="1344"/>
      <c r="E74" s="724"/>
      <c r="F74" s="724"/>
    </row>
    <row r="75" spans="1:6" ht="20.100000000000001" customHeight="1" thickBot="1" x14ac:dyDescent="0.25">
      <c r="A75" s="746" t="str">
        <f>'RT03-F12'!A43</f>
        <v>Cargas (g)</v>
      </c>
      <c r="B75" s="747">
        <f>'RT03-F12'!A44</f>
        <v>0</v>
      </c>
      <c r="C75" s="747">
        <f>'RT03-F12'!A45</f>
        <v>0</v>
      </c>
      <c r="D75" s="747">
        <f>'RT03-F12'!A46</f>
        <v>0</v>
      </c>
      <c r="E75" s="724"/>
      <c r="F75" s="724"/>
    </row>
    <row r="76" spans="1:6" ht="30" customHeight="1" thickBot="1" x14ac:dyDescent="0.25">
      <c r="A76" s="748" t="s">
        <v>397</v>
      </c>
      <c r="B76" s="748" t="s">
        <v>88</v>
      </c>
      <c r="C76" s="748" t="s">
        <v>88</v>
      </c>
      <c r="D76" s="748" t="s">
        <v>88</v>
      </c>
      <c r="E76" s="724"/>
      <c r="F76" s="724"/>
    </row>
    <row r="77" spans="1:6" ht="20.100000000000001" customHeight="1" x14ac:dyDescent="0.2">
      <c r="A77" s="749">
        <f>'RT03-F12'!B43</f>
        <v>1</v>
      </c>
      <c r="B77" s="750">
        <f>'RT03-F12'!B44</f>
        <v>0</v>
      </c>
      <c r="C77" s="750">
        <f>'RT03-F12'!B45</f>
        <v>0</v>
      </c>
      <c r="D77" s="750">
        <f>'RT03-F12'!B46</f>
        <v>0</v>
      </c>
      <c r="E77" s="724"/>
      <c r="F77" s="724"/>
    </row>
    <row r="78" spans="1:6" ht="20.100000000000001" customHeight="1" x14ac:dyDescent="0.2">
      <c r="A78" s="749">
        <f>'RT03-F12'!C43</f>
        <v>2</v>
      </c>
      <c r="B78" s="227">
        <f>'RT03-F12'!C44</f>
        <v>0</v>
      </c>
      <c r="C78" s="227">
        <f>'RT03-F12'!C45</f>
        <v>0</v>
      </c>
      <c r="D78" s="227">
        <f>'RT03-F12'!C46</f>
        <v>0</v>
      </c>
      <c r="E78" s="724"/>
      <c r="F78" s="724"/>
    </row>
    <row r="79" spans="1:6" ht="20.100000000000001" customHeight="1" x14ac:dyDescent="0.2">
      <c r="A79" s="749">
        <f>'RT03-F12'!D43</f>
        <v>3</v>
      </c>
      <c r="B79" s="227">
        <f>'RT03-F12'!D44</f>
        <v>0</v>
      </c>
      <c r="C79" s="227">
        <f>'RT03-F12'!D45</f>
        <v>0</v>
      </c>
      <c r="D79" s="227">
        <f>'RT03-F12'!D46</f>
        <v>0</v>
      </c>
      <c r="E79" s="724"/>
      <c r="F79" s="724"/>
    </row>
    <row r="80" spans="1:6" ht="20.100000000000001" customHeight="1" x14ac:dyDescent="0.2">
      <c r="A80" s="749">
        <f>'RT03-F12'!E43</f>
        <v>4</v>
      </c>
      <c r="B80" s="227">
        <f>'RT03-F12'!E44</f>
        <v>0</v>
      </c>
      <c r="C80" s="227">
        <f>'RT03-F12'!E45</f>
        <v>0</v>
      </c>
      <c r="D80" s="227">
        <f>'RT03-F12'!E46</f>
        <v>0</v>
      </c>
      <c r="E80" s="724"/>
      <c r="F80" s="724"/>
    </row>
    <row r="81" spans="1:6" ht="20.100000000000001" customHeight="1" x14ac:dyDescent="0.2">
      <c r="A81" s="749">
        <f>'RT03-F12'!F43</f>
        <v>5</v>
      </c>
      <c r="B81" s="227">
        <f>'RT03-F12'!F44</f>
        <v>0</v>
      </c>
      <c r="C81" s="227">
        <f>'RT03-F12'!F45</f>
        <v>0</v>
      </c>
      <c r="D81" s="227">
        <f>'RT03-F12'!F46</f>
        <v>0</v>
      </c>
      <c r="E81" s="724"/>
      <c r="F81" s="724"/>
    </row>
    <row r="82" spans="1:6" ht="20.100000000000001" customHeight="1" x14ac:dyDescent="0.2">
      <c r="A82" s="749">
        <f>'RT03-F12'!G43</f>
        <v>6</v>
      </c>
      <c r="B82" s="227">
        <f>'RT03-F12'!G44</f>
        <v>0</v>
      </c>
      <c r="C82" s="227">
        <f>'RT03-F12'!G45</f>
        <v>0</v>
      </c>
      <c r="D82" s="227">
        <f>'RT03-F12'!G46</f>
        <v>0</v>
      </c>
      <c r="E82" s="724"/>
      <c r="F82" s="724"/>
    </row>
    <row r="83" spans="1:6" ht="20.100000000000001" customHeight="1" x14ac:dyDescent="0.2">
      <c r="A83" s="749">
        <f>'RT03-F12'!H43</f>
        <v>7</v>
      </c>
      <c r="B83" s="227">
        <f>'RT03-F12'!H44</f>
        <v>0</v>
      </c>
      <c r="C83" s="227">
        <f>'RT03-F12'!H45</f>
        <v>0</v>
      </c>
      <c r="D83" s="227">
        <f>'RT03-F12'!H46</f>
        <v>0</v>
      </c>
      <c r="E83" s="724"/>
      <c r="F83" s="724"/>
    </row>
    <row r="84" spans="1:6" ht="20.100000000000001" customHeight="1" x14ac:dyDescent="0.2">
      <c r="A84" s="749">
        <f>'RT03-F12'!I43</f>
        <v>8</v>
      </c>
      <c r="B84" s="227">
        <f>'RT03-F12'!I44</f>
        <v>0</v>
      </c>
      <c r="C84" s="227">
        <f>'RT03-F12'!I45</f>
        <v>0</v>
      </c>
      <c r="D84" s="227">
        <f>'RT03-F12'!I46</f>
        <v>0</v>
      </c>
      <c r="E84" s="724"/>
      <c r="F84" s="724"/>
    </row>
    <row r="85" spans="1:6" ht="20.100000000000001" customHeight="1" x14ac:dyDescent="0.2">
      <c r="A85" s="749">
        <f>'RT03-F12'!J43</f>
        <v>9</v>
      </c>
      <c r="B85" s="227">
        <f>'RT03-F12'!J44</f>
        <v>0</v>
      </c>
      <c r="C85" s="227">
        <f>'RT03-F12'!J45</f>
        <v>0</v>
      </c>
      <c r="D85" s="227">
        <f>'RT03-F12'!J46</f>
        <v>0</v>
      </c>
      <c r="E85" s="724"/>
      <c r="F85" s="724"/>
    </row>
    <row r="86" spans="1:6" ht="20.100000000000001" customHeight="1" x14ac:dyDescent="0.2">
      <c r="A86" s="749">
        <f>'RT03-F12'!K43</f>
        <v>10</v>
      </c>
      <c r="B86" s="227">
        <f>'RT03-F12'!K44</f>
        <v>0</v>
      </c>
      <c r="C86" s="227">
        <f>'RT03-F12'!K45</f>
        <v>0</v>
      </c>
      <c r="D86" s="227">
        <f>'RT03-F12'!K46</f>
        <v>0</v>
      </c>
      <c r="E86" s="727"/>
      <c r="F86" s="727"/>
    </row>
    <row r="87" spans="1:6" ht="12" customHeight="1" x14ac:dyDescent="0.2">
      <c r="A87" s="710"/>
      <c r="B87" s="710"/>
      <c r="C87" s="710"/>
      <c r="D87" s="727"/>
      <c r="E87" s="727"/>
      <c r="F87" s="727"/>
    </row>
    <row r="88" spans="1:6" ht="15" customHeight="1" x14ac:dyDescent="0.2">
      <c r="A88" s="1360" t="s">
        <v>390</v>
      </c>
      <c r="B88" s="1360"/>
      <c r="C88" s="1360"/>
      <c r="D88" s="1360"/>
      <c r="E88" s="1360"/>
      <c r="F88" s="1360"/>
    </row>
    <row r="89" spans="1:6" ht="15" customHeight="1" x14ac:dyDescent="0.2">
      <c r="A89" s="1360"/>
      <c r="B89" s="1360"/>
      <c r="C89" s="1360"/>
      <c r="D89" s="1360"/>
      <c r="E89" s="1360"/>
      <c r="F89" s="1360"/>
    </row>
    <row r="90" spans="1:6" ht="15" customHeight="1" x14ac:dyDescent="0.2">
      <c r="A90" s="1360"/>
      <c r="B90" s="1360"/>
      <c r="C90" s="1360"/>
      <c r="D90" s="1360"/>
      <c r="E90" s="1360"/>
      <c r="F90" s="1360"/>
    </row>
    <row r="91" spans="1:6" ht="15" customHeight="1" x14ac:dyDescent="0.2">
      <c r="A91" s="1360"/>
      <c r="B91" s="1360"/>
      <c r="C91" s="1360"/>
      <c r="D91" s="1360"/>
      <c r="E91" s="1360"/>
      <c r="F91" s="1360"/>
    </row>
    <row r="92" spans="1:6" ht="12" customHeight="1" x14ac:dyDescent="0.2">
      <c r="E92" s="727"/>
      <c r="F92" s="727"/>
    </row>
    <row r="93" spans="1:6" ht="15" customHeight="1" x14ac:dyDescent="0.2">
      <c r="A93" s="1332" t="s">
        <v>394</v>
      </c>
      <c r="B93" s="1332"/>
      <c r="C93" s="1332"/>
      <c r="D93" s="1332"/>
      <c r="E93" s="710"/>
      <c r="F93" s="710"/>
    </row>
    <row r="94" spans="1:6" ht="15" customHeight="1" thickBot="1" x14ac:dyDescent="0.25"/>
    <row r="95" spans="1:6" ht="15" customHeight="1" thickBot="1" x14ac:dyDescent="0.25">
      <c r="A95" s="1338" t="s">
        <v>389</v>
      </c>
      <c r="B95" s="1339"/>
      <c r="C95" s="1340"/>
      <c r="D95" s="710"/>
      <c r="E95" s="710"/>
      <c r="F95" s="710"/>
    </row>
    <row r="96" spans="1:6" ht="43.5" customHeight="1" thickBot="1" x14ac:dyDescent="0.25">
      <c r="A96" s="751" t="s">
        <v>433</v>
      </c>
      <c r="B96" s="752" t="s">
        <v>435</v>
      </c>
      <c r="C96" s="753" t="s">
        <v>434</v>
      </c>
      <c r="D96" s="710"/>
      <c r="E96" s="710"/>
      <c r="F96" s="710"/>
    </row>
    <row r="97" spans="1:6" ht="19.5" customHeight="1" x14ac:dyDescent="0.2">
      <c r="A97" s="754" t="e">
        <f>'RT03-F12'!B55</f>
        <v>#N/A</v>
      </c>
      <c r="B97" s="755">
        <f>'RT03-F12'!C55</f>
        <v>0</v>
      </c>
      <c r="C97" s="756" t="e">
        <f>'RT03-F12'!D55</f>
        <v>#N/A</v>
      </c>
      <c r="D97" s="710"/>
      <c r="E97" s="710"/>
      <c r="F97" s="710"/>
    </row>
    <row r="98" spans="1:6" ht="20.100000000000001" customHeight="1" x14ac:dyDescent="0.2">
      <c r="A98" s="757" t="e">
        <f>'RT03-F12'!B56</f>
        <v>#N/A</v>
      </c>
      <c r="B98" s="758">
        <f>'RT03-F12'!C56</f>
        <v>0</v>
      </c>
      <c r="C98" s="756" t="e">
        <f>'RT03-F12'!D56</f>
        <v>#N/A</v>
      </c>
      <c r="D98" s="710"/>
      <c r="E98" s="710"/>
      <c r="F98" s="710"/>
    </row>
    <row r="99" spans="1:6" ht="20.100000000000001" customHeight="1" x14ac:dyDescent="0.2">
      <c r="A99" s="757" t="e">
        <f>'RT03-F12'!B57</f>
        <v>#N/A</v>
      </c>
      <c r="B99" s="758">
        <f>'RT03-F12'!C57</f>
        <v>0</v>
      </c>
      <c r="C99" s="756" t="e">
        <f>'RT03-F12'!D57</f>
        <v>#N/A</v>
      </c>
      <c r="D99" s="710"/>
      <c r="E99" s="710"/>
      <c r="F99" s="710"/>
    </row>
    <row r="100" spans="1:6" ht="20.100000000000001" customHeight="1" x14ac:dyDescent="0.2">
      <c r="A100" s="757" t="e">
        <f>'RT03-F12'!B58</f>
        <v>#N/A</v>
      </c>
      <c r="B100" s="758">
        <f>'RT03-F12'!C58</f>
        <v>0</v>
      </c>
      <c r="C100" s="756" t="e">
        <f>'RT03-F12'!D58</f>
        <v>#N/A</v>
      </c>
      <c r="D100" s="710"/>
      <c r="E100" s="710"/>
      <c r="F100" s="710"/>
    </row>
    <row r="101" spans="1:6" ht="20.100000000000001" customHeight="1" x14ac:dyDescent="0.2">
      <c r="A101" s="757" t="e">
        <f>'RT03-F12'!B59</f>
        <v>#N/A</v>
      </c>
      <c r="B101" s="758">
        <f>'RT03-F12'!C59</f>
        <v>0</v>
      </c>
      <c r="C101" s="756" t="e">
        <f>'RT03-F12'!D59</f>
        <v>#N/A</v>
      </c>
      <c r="D101" s="710"/>
      <c r="E101" s="710"/>
      <c r="F101" s="710"/>
    </row>
    <row r="102" spans="1:6" ht="15.95" customHeight="1" thickBot="1" x14ac:dyDescent="0.25">
      <c r="A102" s="759"/>
      <c r="B102" s="759"/>
      <c r="C102" s="759"/>
      <c r="D102" s="710"/>
      <c r="E102" s="710"/>
      <c r="F102" s="759"/>
    </row>
    <row r="103" spans="1:6" ht="15.95" customHeight="1" thickBot="1" x14ac:dyDescent="0.25">
      <c r="A103" s="1338" t="s">
        <v>391</v>
      </c>
      <c r="B103" s="1339"/>
      <c r="C103" s="1340"/>
    </row>
    <row r="104" spans="1:6" ht="26.25" thickBot="1" x14ac:dyDescent="0.25">
      <c r="A104" s="760" t="str">
        <f>'RT03-F12'!B54</f>
        <v>Masa  Convencional (g)</v>
      </c>
      <c r="B104" s="748" t="s">
        <v>309</v>
      </c>
      <c r="C104" s="761" t="s">
        <v>469</v>
      </c>
      <c r="E104" s="762"/>
    </row>
    <row r="105" spans="1:6" ht="15.95" customHeight="1" x14ac:dyDescent="0.2">
      <c r="A105" s="763" t="e">
        <f>'RT03-F12'!B55</f>
        <v>#N/A</v>
      </c>
      <c r="B105" s="764" t="e">
        <f>'RT03-F12'!K55</f>
        <v>#DIV/0!</v>
      </c>
      <c r="C105" s="764" t="e">
        <f>'RT03-F12'!F105</f>
        <v>#DIV/0!</v>
      </c>
      <c r="E105" s="762"/>
    </row>
    <row r="106" spans="1:6" ht="15.95" customHeight="1" x14ac:dyDescent="0.2">
      <c r="A106" s="765" t="e">
        <f>'RT03-F12'!B56</f>
        <v>#N/A</v>
      </c>
      <c r="B106" s="764" t="e">
        <f>'RT03-F12'!K56</f>
        <v>#DIV/0!</v>
      </c>
      <c r="C106" s="764" t="e">
        <f>'RT03-F12'!G105</f>
        <v>#DIV/0!</v>
      </c>
      <c r="E106" s="762"/>
    </row>
    <row r="107" spans="1:6" ht="15.95" customHeight="1" x14ac:dyDescent="0.2">
      <c r="A107" s="766" t="e">
        <f>'RT03-F12'!B57</f>
        <v>#N/A</v>
      </c>
      <c r="B107" s="764" t="e">
        <f>'RT03-F12'!K57</f>
        <v>#DIV/0!</v>
      </c>
      <c r="C107" s="764" t="e">
        <f>'RT03-F12'!H105</f>
        <v>#DIV/0!</v>
      </c>
      <c r="E107" s="762"/>
    </row>
    <row r="108" spans="1:6" ht="15.95" customHeight="1" x14ac:dyDescent="0.2">
      <c r="A108" s="765" t="e">
        <f>'RT03-F12'!B58</f>
        <v>#N/A</v>
      </c>
      <c r="B108" s="764" t="e">
        <f>'RT03-F12'!K58</f>
        <v>#DIV/0!</v>
      </c>
      <c r="C108" s="764" t="e">
        <f>'RT03-F12'!I105</f>
        <v>#DIV/0!</v>
      </c>
      <c r="D108" s="724"/>
      <c r="E108" s="762"/>
      <c r="F108" s="724"/>
    </row>
    <row r="109" spans="1:6" ht="15.95" customHeight="1" x14ac:dyDescent="0.2">
      <c r="A109" s="766" t="e">
        <f>'RT03-F12'!B59</f>
        <v>#N/A</v>
      </c>
      <c r="B109" s="764" t="e">
        <f>'RT03-F12'!K59</f>
        <v>#DIV/0!</v>
      </c>
      <c r="C109" s="764" t="e">
        <f>'RT03-F12'!J105</f>
        <v>#DIV/0!</v>
      </c>
      <c r="D109" s="724"/>
      <c r="E109" s="762"/>
      <c r="F109" s="724"/>
    </row>
    <row r="110" spans="1:6" ht="15.95" customHeight="1" x14ac:dyDescent="0.2">
      <c r="A110" s="786"/>
      <c r="B110" s="726"/>
      <c r="C110" s="726"/>
      <c r="D110" s="724"/>
      <c r="E110" s="762"/>
      <c r="F110" s="724"/>
    </row>
    <row r="111" spans="1:6" ht="120" customHeight="1" x14ac:dyDescent="0.2">
      <c r="A111" s="786"/>
      <c r="B111" s="726"/>
      <c r="C111" s="726"/>
      <c r="D111" s="724"/>
      <c r="E111" s="762"/>
      <c r="F111" s="724"/>
    </row>
    <row r="112" spans="1:6" ht="18" customHeight="1" x14ac:dyDescent="0.2">
      <c r="A112" s="786"/>
      <c r="B112" s="726"/>
      <c r="C112" s="726"/>
      <c r="D112" s="1300" t="s">
        <v>492</v>
      </c>
      <c r="E112" s="1300"/>
      <c r="F112" s="708" t="e">
        <f>F2</f>
        <v>#N/A</v>
      </c>
    </row>
    <row r="113" spans="1:6" ht="20.100000000000001" customHeight="1" x14ac:dyDescent="0.2">
      <c r="A113" s="87"/>
      <c r="B113" s="726"/>
      <c r="C113" s="726"/>
      <c r="D113" s="724"/>
      <c r="E113" s="762"/>
      <c r="F113" s="724"/>
    </row>
    <row r="114" spans="1:6" ht="15" customHeight="1" x14ac:dyDescent="0.2">
      <c r="A114" s="759"/>
      <c r="B114" s="726"/>
      <c r="C114" s="726"/>
      <c r="D114" s="710"/>
      <c r="E114" s="710"/>
      <c r="F114" s="710"/>
    </row>
    <row r="115" spans="1:6" ht="15" customHeight="1" x14ac:dyDescent="0.2">
      <c r="A115" s="724"/>
      <c r="B115" s="767"/>
      <c r="C115" s="724"/>
      <c r="D115" s="724"/>
      <c r="E115" s="724"/>
      <c r="F115" s="724"/>
    </row>
    <row r="116" spans="1:6" ht="15" customHeight="1" x14ac:dyDescent="0.2">
      <c r="A116" s="724"/>
      <c r="B116" s="724"/>
      <c r="C116" s="724"/>
      <c r="D116" s="724"/>
      <c r="E116" s="724"/>
      <c r="F116" s="724"/>
    </row>
    <row r="117" spans="1:6" ht="15" customHeight="1" x14ac:dyDescent="0.2">
      <c r="A117" s="724"/>
      <c r="B117" s="724"/>
      <c r="C117" s="724"/>
      <c r="D117" s="724"/>
      <c r="E117" s="724"/>
      <c r="F117" s="724"/>
    </row>
    <row r="118" spans="1:6" ht="15" customHeight="1" x14ac:dyDescent="0.2">
      <c r="A118" s="724"/>
      <c r="B118" s="724"/>
      <c r="C118" s="724"/>
      <c r="D118" s="724"/>
      <c r="E118" s="724"/>
      <c r="F118" s="724"/>
    </row>
    <row r="119" spans="1:6" ht="15" customHeight="1" x14ac:dyDescent="0.2">
      <c r="A119" s="724"/>
      <c r="B119" s="724"/>
      <c r="C119" s="724"/>
      <c r="D119" s="724"/>
      <c r="E119" s="724"/>
      <c r="F119" s="724"/>
    </row>
    <row r="120" spans="1:6" ht="15" customHeight="1" x14ac:dyDescent="0.2">
      <c r="A120" s="724"/>
      <c r="B120" s="724"/>
      <c r="C120" s="724"/>
      <c r="D120" s="724"/>
      <c r="E120" s="724"/>
      <c r="F120" s="724"/>
    </row>
    <row r="121" spans="1:6" ht="15" customHeight="1" x14ac:dyDescent="0.2">
      <c r="A121" s="724"/>
      <c r="B121" s="724"/>
      <c r="C121" s="724"/>
      <c r="D121" s="724"/>
      <c r="E121" s="724"/>
      <c r="F121" s="724"/>
    </row>
    <row r="122" spans="1:6" ht="15" customHeight="1" x14ac:dyDescent="0.2">
      <c r="A122" s="724"/>
      <c r="B122" s="724"/>
      <c r="C122" s="724"/>
      <c r="D122" s="724"/>
      <c r="E122" s="724"/>
      <c r="F122" s="724"/>
    </row>
    <row r="123" spans="1:6" ht="15" customHeight="1" x14ac:dyDescent="0.2">
      <c r="A123" s="724"/>
      <c r="B123" s="724"/>
      <c r="C123" s="724"/>
      <c r="D123" s="724"/>
      <c r="E123" s="724"/>
      <c r="F123" s="724"/>
    </row>
    <row r="124" spans="1:6" ht="15" customHeight="1" x14ac:dyDescent="0.2">
      <c r="A124" s="724"/>
      <c r="B124" s="724"/>
      <c r="C124" s="724"/>
      <c r="D124" s="724"/>
      <c r="E124" s="724"/>
      <c r="F124" s="724"/>
    </row>
    <row r="125" spans="1:6" ht="15" customHeight="1" x14ac:dyDescent="0.2">
      <c r="A125" s="724"/>
      <c r="B125" s="724"/>
      <c r="C125" s="724"/>
      <c r="D125" s="724"/>
      <c r="E125" s="724"/>
      <c r="F125" s="724"/>
    </row>
    <row r="126" spans="1:6" ht="15" customHeight="1" x14ac:dyDescent="0.2">
      <c r="A126" s="724"/>
      <c r="B126" s="724"/>
      <c r="C126" s="724"/>
      <c r="D126" s="724"/>
      <c r="E126" s="724"/>
      <c r="F126" s="724"/>
    </row>
    <row r="127" spans="1:6" ht="15" customHeight="1" x14ac:dyDescent="0.2">
      <c r="D127" s="710"/>
      <c r="E127" s="710"/>
      <c r="F127" s="710"/>
    </row>
    <row r="128" spans="1:6" ht="15" customHeight="1" x14ac:dyDescent="0.2">
      <c r="A128" s="710"/>
      <c r="B128" s="710"/>
      <c r="C128" s="710"/>
      <c r="D128" s="710"/>
      <c r="E128" s="710"/>
      <c r="F128" s="710"/>
    </row>
    <row r="129" spans="1:6" ht="15" customHeight="1" x14ac:dyDescent="0.2">
      <c r="A129" s="710"/>
      <c r="B129" s="710"/>
      <c r="C129" s="710"/>
      <c r="D129" s="710"/>
      <c r="E129" s="710"/>
      <c r="F129" s="710"/>
    </row>
    <row r="130" spans="1:6" ht="15" customHeight="1" x14ac:dyDescent="0.2">
      <c r="A130" s="710"/>
      <c r="B130" s="710"/>
      <c r="C130" s="710"/>
      <c r="D130" s="710"/>
      <c r="E130" s="710"/>
      <c r="F130" s="710"/>
    </row>
    <row r="131" spans="1:6" ht="15" customHeight="1" x14ac:dyDescent="0.2">
      <c r="A131" s="1358" t="s">
        <v>436</v>
      </c>
      <c r="B131" s="1358"/>
      <c r="C131" s="1358"/>
      <c r="D131" s="1358"/>
      <c r="E131" s="1358"/>
      <c r="F131" s="1358"/>
    </row>
    <row r="132" spans="1:6" ht="15" customHeight="1" x14ac:dyDescent="0.2">
      <c r="A132" s="1358"/>
      <c r="B132" s="1358"/>
      <c r="C132" s="1358"/>
      <c r="D132" s="1358"/>
      <c r="E132" s="1358"/>
      <c r="F132" s="1358"/>
    </row>
    <row r="133" spans="1:6" ht="20.100000000000001" customHeight="1" x14ac:dyDescent="0.2">
      <c r="A133" s="1332"/>
      <c r="B133" s="1332"/>
      <c r="C133" s="1332"/>
      <c r="D133" s="710"/>
      <c r="E133" s="710"/>
      <c r="F133" s="710"/>
    </row>
    <row r="134" spans="1:6" ht="20.100000000000001" customHeight="1" x14ac:dyDescent="0.2">
      <c r="A134" s="1296" t="s">
        <v>458</v>
      </c>
      <c r="B134" s="1296"/>
      <c r="C134" s="1296"/>
      <c r="D134" s="1296"/>
      <c r="E134" s="1296"/>
      <c r="F134" s="710"/>
    </row>
    <row r="135" spans="1:6" ht="12" customHeight="1" x14ac:dyDescent="0.2">
      <c r="A135" s="722"/>
      <c r="B135" s="722"/>
      <c r="C135" s="722"/>
      <c r="D135" s="722"/>
      <c r="E135" s="722"/>
      <c r="F135" s="710"/>
    </row>
    <row r="136" spans="1:6" ht="12" customHeight="1" x14ac:dyDescent="0.2">
      <c r="A136" s="1362" t="s">
        <v>475</v>
      </c>
      <c r="B136" s="1362"/>
      <c r="C136" s="1362"/>
      <c r="D136" s="1362"/>
      <c r="E136" s="1362"/>
      <c r="F136" s="1362"/>
    </row>
    <row r="137" spans="1:6" ht="35.25" customHeight="1" x14ac:dyDescent="0.2">
      <c r="A137" s="1362"/>
      <c r="B137" s="1362"/>
      <c r="C137" s="1362"/>
      <c r="D137" s="1362"/>
      <c r="E137" s="1362"/>
      <c r="F137" s="1362"/>
    </row>
    <row r="138" spans="1:6" ht="20.100000000000001" customHeight="1" thickBot="1" x14ac:dyDescent="0.25">
      <c r="A138" s="722"/>
      <c r="B138" s="722"/>
      <c r="C138" s="722"/>
      <c r="D138" s="722"/>
      <c r="E138" s="722"/>
      <c r="F138" s="722"/>
    </row>
    <row r="139" spans="1:6" ht="42" customHeight="1" thickTop="1" thickBot="1" x14ac:dyDescent="0.25">
      <c r="A139" s="768" t="s">
        <v>460</v>
      </c>
      <c r="B139" s="769" t="e">
        <f>IF('RT03-F12'!F140&lt;=('DATOS '!H157),"0,078",'RT03-F12'!F140)</f>
        <v>#N/A</v>
      </c>
      <c r="C139" s="770" t="s">
        <v>395</v>
      </c>
      <c r="D139" s="771" t="e">
        <f>'RT03-F12'!H140</f>
        <v>#N/A</v>
      </c>
      <c r="E139" s="769" t="s">
        <v>70</v>
      </c>
      <c r="F139" s="772"/>
    </row>
    <row r="140" spans="1:6" ht="20.100000000000001" customHeight="1" thickTop="1" x14ac:dyDescent="0.35">
      <c r="A140" s="773"/>
      <c r="B140" s="774"/>
      <c r="C140" s="774"/>
      <c r="D140" s="774"/>
      <c r="E140" s="775"/>
      <c r="F140" s="775"/>
    </row>
    <row r="141" spans="1:6" ht="18" customHeight="1" x14ac:dyDescent="0.2">
      <c r="A141" s="1363" t="s">
        <v>90</v>
      </c>
      <c r="B141" s="1363"/>
      <c r="C141" s="1363"/>
      <c r="D141" s="1363"/>
      <c r="E141" s="1363"/>
      <c r="F141" s="1363"/>
    </row>
    <row r="142" spans="1:6" ht="18" customHeight="1" x14ac:dyDescent="0.2">
      <c r="A142" s="1363"/>
      <c r="B142" s="1363"/>
      <c r="C142" s="1363"/>
      <c r="D142" s="1363"/>
      <c r="E142" s="1363"/>
      <c r="F142" s="1363"/>
    </row>
    <row r="143" spans="1:6" ht="18" customHeight="1" x14ac:dyDescent="0.2">
      <c r="A143" s="719"/>
      <c r="B143" s="719"/>
      <c r="C143" s="719"/>
      <c r="D143" s="719"/>
      <c r="E143" s="719"/>
      <c r="F143" s="719"/>
    </row>
    <row r="144" spans="1:6" ht="18" customHeight="1" x14ac:dyDescent="0.2">
      <c r="A144" s="745"/>
      <c r="B144" s="745"/>
      <c r="C144" s="745"/>
      <c r="D144" s="745"/>
      <c r="E144" s="745"/>
      <c r="F144" s="745"/>
    </row>
    <row r="145" spans="1:9" ht="18" customHeight="1" x14ac:dyDescent="0.2">
      <c r="A145" s="745"/>
      <c r="B145" s="745"/>
      <c r="C145" s="745"/>
      <c r="D145" s="745"/>
      <c r="E145" s="745"/>
      <c r="F145" s="745"/>
    </row>
    <row r="146" spans="1:9" ht="18" customHeight="1" thickBot="1" x14ac:dyDescent="0.25">
      <c r="A146" s="745"/>
      <c r="B146" s="745"/>
      <c r="C146" s="745"/>
      <c r="D146" s="776"/>
      <c r="E146" s="776"/>
      <c r="F146" s="776"/>
    </row>
    <row r="147" spans="1:9" ht="20.100000000000001" customHeight="1" thickBot="1" x14ac:dyDescent="0.25">
      <c r="A147" s="777" t="s">
        <v>466</v>
      </c>
      <c r="B147" s="1336" t="s">
        <v>396</v>
      </c>
      <c r="C147" s="1295"/>
      <c r="D147" s="1295"/>
      <c r="E147" s="767"/>
      <c r="F147" s="713"/>
    </row>
    <row r="148" spans="1:9" ht="20.100000000000001" customHeight="1" thickBot="1" x14ac:dyDescent="0.25">
      <c r="A148" s="778" t="s">
        <v>91</v>
      </c>
      <c r="B148" s="1336" t="s">
        <v>92</v>
      </c>
      <c r="C148" s="1295"/>
      <c r="D148" s="1295"/>
      <c r="E148" s="720"/>
      <c r="F148" s="720"/>
      <c r="G148" s="720"/>
      <c r="H148" s="720"/>
      <c r="I148" s="720"/>
    </row>
    <row r="149" spans="1:9" ht="20.100000000000001" customHeight="1" thickBot="1" x14ac:dyDescent="0.25">
      <c r="A149" s="779" t="s">
        <v>93</v>
      </c>
      <c r="B149" s="1336" t="s">
        <v>94</v>
      </c>
      <c r="C149" s="1295"/>
      <c r="D149" s="1295"/>
      <c r="E149" s="713"/>
      <c r="F149" s="713"/>
    </row>
    <row r="150" spans="1:9" ht="18" customHeight="1" x14ac:dyDescent="0.2">
      <c r="E150" s="713"/>
      <c r="F150" s="713"/>
    </row>
    <row r="151" spans="1:9" ht="18" customHeight="1" x14ac:dyDescent="0.2">
      <c r="A151" s="1332"/>
      <c r="B151" s="1332"/>
      <c r="C151" s="1332"/>
      <c r="D151" s="1332"/>
      <c r="E151" s="780"/>
      <c r="F151" s="713"/>
    </row>
    <row r="152" spans="1:9" ht="120" customHeight="1" x14ac:dyDescent="0.2">
      <c r="D152" s="710"/>
      <c r="E152" s="710"/>
      <c r="F152" s="710"/>
    </row>
    <row r="153" spans="1:9" ht="18" customHeight="1" x14ac:dyDescent="0.2">
      <c r="D153" s="1300" t="s">
        <v>491</v>
      </c>
      <c r="E153" s="1300"/>
      <c r="F153" s="708" t="e">
        <f>F2</f>
        <v>#N/A</v>
      </c>
    </row>
    <row r="154" spans="1:9" ht="20.100000000000001" customHeight="1" x14ac:dyDescent="0.2">
      <c r="A154" s="1296" t="s">
        <v>459</v>
      </c>
      <c r="B154" s="1296"/>
      <c r="C154" s="1296"/>
      <c r="D154" s="781"/>
      <c r="E154" s="781"/>
      <c r="F154" s="781"/>
    </row>
    <row r="155" spans="1:9" ht="12" customHeight="1" x14ac:dyDescent="0.2">
      <c r="A155" s="1334" t="s">
        <v>439</v>
      </c>
      <c r="B155" s="1334"/>
      <c r="C155" s="1334"/>
      <c r="D155" s="1334"/>
      <c r="E155" s="1334"/>
      <c r="F155" s="1334"/>
    </row>
    <row r="156" spans="1:9" ht="20.100000000000001" customHeight="1" x14ac:dyDescent="0.2">
      <c r="A156" s="1361"/>
      <c r="B156" s="1361"/>
      <c r="C156" s="1361"/>
      <c r="D156" s="1361"/>
      <c r="E156" s="1361"/>
      <c r="F156" s="1361"/>
    </row>
    <row r="157" spans="1:9" ht="20.100000000000001" customHeight="1" x14ac:dyDescent="0.2">
      <c r="A157" s="1361"/>
      <c r="B157" s="1361"/>
      <c r="C157" s="1361"/>
      <c r="D157" s="1361"/>
      <c r="E157" s="1361"/>
      <c r="F157" s="1361"/>
    </row>
    <row r="158" spans="1:9" ht="20.100000000000001" customHeight="1" x14ac:dyDescent="0.2">
      <c r="A158" s="1361"/>
      <c r="B158" s="1361"/>
      <c r="C158" s="1361"/>
      <c r="D158" s="1361"/>
      <c r="E158" s="1361"/>
      <c r="F158" s="1361"/>
    </row>
    <row r="159" spans="1:9" ht="20.100000000000001" customHeight="1" x14ac:dyDescent="0.2">
      <c r="A159" s="1361"/>
      <c r="B159" s="1361"/>
      <c r="C159" s="1361"/>
      <c r="D159" s="1361"/>
      <c r="E159" s="1361"/>
      <c r="F159" s="1361"/>
    </row>
    <row r="160" spans="1:9" ht="20.100000000000001" customHeight="1" x14ac:dyDescent="0.2">
      <c r="A160" s="1361"/>
      <c r="B160" s="1361"/>
      <c r="C160" s="1361"/>
      <c r="D160" s="1361"/>
      <c r="E160" s="1361"/>
      <c r="F160" s="1361"/>
    </row>
    <row r="161" spans="1:6" ht="20.100000000000001" customHeight="1" x14ac:dyDescent="0.2">
      <c r="A161" s="1361"/>
      <c r="B161" s="1361"/>
      <c r="C161" s="1361"/>
      <c r="D161" s="1361"/>
      <c r="E161" s="1361"/>
      <c r="F161" s="1361"/>
    </row>
    <row r="162" spans="1:6" ht="20.100000000000001" customHeight="1" x14ac:dyDescent="0.2">
      <c r="A162" s="1361"/>
      <c r="B162" s="1361"/>
      <c r="C162" s="1361"/>
      <c r="D162" s="1361"/>
      <c r="E162" s="1361"/>
      <c r="F162" s="1361"/>
    </row>
    <row r="163" spans="1:6" ht="20.100000000000001" customHeight="1" x14ac:dyDescent="0.2">
      <c r="A163" s="1361"/>
      <c r="B163" s="1361"/>
      <c r="C163" s="1361"/>
      <c r="D163" s="1361"/>
      <c r="E163" s="1361"/>
      <c r="F163" s="1361"/>
    </row>
    <row r="164" spans="1:6" ht="20.100000000000001" customHeight="1" x14ac:dyDescent="0.2">
      <c r="A164" s="1361"/>
      <c r="B164" s="1361"/>
      <c r="C164" s="1361"/>
      <c r="D164" s="1361"/>
      <c r="E164" s="1361"/>
      <c r="F164" s="1361"/>
    </row>
    <row r="165" spans="1:6" ht="30" customHeight="1" x14ac:dyDescent="0.2">
      <c r="A165" s="787"/>
      <c r="B165" s="787"/>
      <c r="C165" s="811"/>
      <c r="D165" s="709"/>
      <c r="E165" s="709"/>
      <c r="F165" s="811"/>
    </row>
    <row r="166" spans="1:6" ht="20.100000000000001" customHeight="1" x14ac:dyDescent="0.2">
      <c r="A166" s="1328" t="s">
        <v>399</v>
      </c>
      <c r="B166" s="1328"/>
      <c r="C166" s="1328"/>
    </row>
    <row r="167" spans="1:6" ht="15" customHeight="1" x14ac:dyDescent="0.2">
      <c r="B167" s="783"/>
      <c r="C167" s="784"/>
    </row>
    <row r="168" spans="1:6" ht="15" customHeight="1" x14ac:dyDescent="0.2">
      <c r="A168" s="1329" t="s">
        <v>95</v>
      </c>
      <c r="B168" s="1329"/>
      <c r="C168" s="1329"/>
      <c r="D168" s="1329" t="s">
        <v>115</v>
      </c>
      <c r="E168" s="1329"/>
      <c r="F168" s="1329"/>
    </row>
    <row r="169" spans="1:6" ht="15" customHeight="1" x14ac:dyDescent="0.2">
      <c r="A169" s="1330" t="s">
        <v>462</v>
      </c>
      <c r="B169" s="1330"/>
      <c r="C169" s="1330"/>
      <c r="D169" s="1330" t="s">
        <v>463</v>
      </c>
      <c r="E169" s="1330"/>
      <c r="F169" s="1330"/>
    </row>
    <row r="170" spans="1:6" ht="20.25" customHeight="1" x14ac:dyDescent="0.2">
      <c r="A170" s="1330" t="e">
        <f>VLOOKUP($C$165,'DATOS '!$A$113:$D$159,4,FALSE)</f>
        <v>#N/A</v>
      </c>
      <c r="B170" s="1330"/>
      <c r="C170" s="1330"/>
      <c r="D170" s="1330" t="e">
        <f>VLOOKUP($F$165,'DATOS '!A156:F159,6,FALSE)</f>
        <v>#N/A</v>
      </c>
      <c r="E170" s="1330"/>
      <c r="F170" s="1330"/>
    </row>
    <row r="171" spans="1:6" ht="15" customHeight="1" x14ac:dyDescent="0.2">
      <c r="A171" s="1330" t="e">
        <f>VLOOKUP($C$165,'DATOS '!$A$113:$H$168,2,FALSE)</f>
        <v>#N/A</v>
      </c>
      <c r="B171" s="1330"/>
      <c r="C171" s="1330"/>
      <c r="D171" s="1330" t="e">
        <f>VLOOKUP($F$165,'DATOS '!A156:F159,2,FALSE)</f>
        <v>#N/A</v>
      </c>
      <c r="E171" s="1330"/>
      <c r="F171" s="1330"/>
    </row>
    <row r="173" spans="1:6" s="788" customFormat="1" ht="9.9499999999999993" customHeight="1" x14ac:dyDescent="0.2">
      <c r="B173" s="1327" t="s">
        <v>117</v>
      </c>
      <c r="C173" s="1327"/>
      <c r="D173" s="1327"/>
      <c r="E173" s="1327"/>
    </row>
    <row r="174" spans="1:6" ht="15" customHeight="1" x14ac:dyDescent="0.2">
      <c r="B174" s="789"/>
      <c r="C174" s="789"/>
      <c r="D174" s="789"/>
      <c r="E174" s="789"/>
    </row>
  </sheetData>
  <sheetProtection algorithmName="SHA-512" hashValue="g8fOtesI0Rxq5I2bk8bv7D3h4cn/DhBpDY3r1Eati6ZoymBMfvVMuKzPHiPxHcCj+TMIQGZ6IESD8kiX4OHHfg==" saltValue="akcaCrZ43l1rnIqS7WZvlw==" spinCount="100000" sheet="1" objects="1" scenarios="1"/>
  <mergeCells count="86">
    <mergeCell ref="A171:C171"/>
    <mergeCell ref="D171:F171"/>
    <mergeCell ref="B173:E173"/>
    <mergeCell ref="A161:F161"/>
    <mergeCell ref="A163:F163"/>
    <mergeCell ref="A164:F164"/>
    <mergeCell ref="A168:C168"/>
    <mergeCell ref="D168:F168"/>
    <mergeCell ref="A169:C169"/>
    <mergeCell ref="D169:F169"/>
    <mergeCell ref="A170:C170"/>
    <mergeCell ref="D170:F170"/>
    <mergeCell ref="A166:C166"/>
    <mergeCell ref="A157:F157"/>
    <mergeCell ref="A158:F158"/>
    <mergeCell ref="A159:F159"/>
    <mergeCell ref="A160:F160"/>
    <mergeCell ref="A162:F162"/>
    <mergeCell ref="A156:F156"/>
    <mergeCell ref="A133:C133"/>
    <mergeCell ref="A134:E134"/>
    <mergeCell ref="A136:F137"/>
    <mergeCell ref="A141:F142"/>
    <mergeCell ref="B147:D147"/>
    <mergeCell ref="B148:D148"/>
    <mergeCell ref="B149:D149"/>
    <mergeCell ref="A151:D151"/>
    <mergeCell ref="D153:E153"/>
    <mergeCell ref="A154:C154"/>
    <mergeCell ref="A155:F155"/>
    <mergeCell ref="A131:F132"/>
    <mergeCell ref="A56:C56"/>
    <mergeCell ref="A64:B64"/>
    <mergeCell ref="A66:F68"/>
    <mergeCell ref="D71:E71"/>
    <mergeCell ref="A72:B72"/>
    <mergeCell ref="A74:D74"/>
    <mergeCell ref="A88:F91"/>
    <mergeCell ref="A93:D93"/>
    <mergeCell ref="A95:C95"/>
    <mergeCell ref="A103:C103"/>
    <mergeCell ref="D112:E112"/>
    <mergeCell ref="A54:C54"/>
    <mergeCell ref="A44:F44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2:F52"/>
    <mergeCell ref="A42:F42"/>
    <mergeCell ref="A19:B19"/>
    <mergeCell ref="A20:B20"/>
    <mergeCell ref="A22:F22"/>
    <mergeCell ref="A24:F24"/>
    <mergeCell ref="A25:F25"/>
    <mergeCell ref="A27:B27"/>
    <mergeCell ref="C27:E27"/>
    <mergeCell ref="A29:F29"/>
    <mergeCell ref="A31:F32"/>
    <mergeCell ref="A34:D34"/>
    <mergeCell ref="A38:F38"/>
    <mergeCell ref="D41:E41"/>
    <mergeCell ref="A18:B18"/>
    <mergeCell ref="A7:B7"/>
    <mergeCell ref="C7:D7"/>
    <mergeCell ref="A9:B9"/>
    <mergeCell ref="D9:E9"/>
    <mergeCell ref="A11:F11"/>
    <mergeCell ref="C13:D13"/>
    <mergeCell ref="C14:D14"/>
    <mergeCell ref="A15:B15"/>
    <mergeCell ref="C15:D15"/>
    <mergeCell ref="C16:D16"/>
    <mergeCell ref="A17:B17"/>
    <mergeCell ref="D2:E2"/>
    <mergeCell ref="A3:C3"/>
    <mergeCell ref="A5:B5"/>
    <mergeCell ref="C5:F5"/>
    <mergeCell ref="A6:B6"/>
    <mergeCell ref="C6:D6"/>
  </mergeCells>
  <printOptions horizontalCentered="1"/>
  <pageMargins left="0.23622047244094491" right="0.23622047244094491" top="0.74803149606299213" bottom="0.74803149606299213" header="0.31496062992125984" footer="0.31496062992125984"/>
  <pageSetup scale="82" orientation="portrait" horizontalDpi="4294967293" r:id="rId1"/>
  <headerFooter>
    <oddHeader xml:space="preserve">&amp;C 
&amp;"Arial Narrow,Negrita"&amp;14 
MODIFICACIÓN AL
CERTIFICADO DE CALIBRACIÓN 
DE  BALANZAS&amp;R&amp;"-,Negrita"&amp;12
             </oddHeader>
    <oddFooter>&amp;R&amp;8
  RT03-F39  Vr.5 (2019-05-15)
&amp;P de &amp;[Páginas</oddFooter>
  </headerFooter>
  <rowBreaks count="4" manualBreakCount="4">
    <brk id="38" max="5" man="1"/>
    <brk id="69" max="5" man="1"/>
    <brk id="110" max="16383" man="1"/>
    <brk id="1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'DATOS '!$A$156:$A$159</xm:f>
          </x14:formula1>
          <xm:sqref>F165</xm:sqref>
        </x14:dataValidation>
        <x14:dataValidation type="list" allowBlank="1" showInputMessage="1" showErrorMessage="1">
          <x14:formula1>
            <xm:f>'DATOS '!$A$156:$A$158</xm:f>
          </x14:formula1>
          <xm:sqref>C165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DATOS 1</vt:lpstr>
      <vt:lpstr>DATOS </vt:lpstr>
      <vt:lpstr>RT03-F12</vt:lpstr>
      <vt:lpstr>RT03-F15 </vt:lpstr>
      <vt:lpstr>RT03-F39</vt:lpstr>
      <vt:lpstr>'RT03-F12'!Área_de_impresión</vt:lpstr>
      <vt:lpstr>'DATOS '!Print_Area</vt:lpstr>
      <vt:lpstr>'DATOS 1'!Print_Area</vt:lpstr>
      <vt:lpstr>'RT03-F12'!Print_Area</vt:lpstr>
      <vt:lpstr>'RT03-F15 '!Print_Area</vt:lpstr>
      <vt:lpstr>'RT03-F39'!Print_Area</vt:lpstr>
      <vt:lpstr>'RT03-F12'!Print_Titles</vt:lpstr>
      <vt:lpstr>'RT03-F15 '!Print_Titles</vt:lpstr>
      <vt:lpstr>'RT03-F39'!Print_Titles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Maria del Carmen Diaz Fonseca</cp:lastModifiedBy>
  <cp:lastPrinted>2019-05-15T16:45:00Z</cp:lastPrinted>
  <dcterms:created xsi:type="dcterms:W3CDTF">2016-06-28T20:23:39Z</dcterms:created>
  <dcterms:modified xsi:type="dcterms:W3CDTF">2019-05-20T18:56:28Z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525624</vt:i4>
  </property>
</Properties>
</file>